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<sst xmlns="http://schemas.openxmlformats.org/spreadsheetml/2006/main" count="763" uniqueCount="191">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</sst>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5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7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8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90" fillId="41" borderId="10" xfId="0" applyNumberFormat="1" applyFont="1" applyFill="1" applyBorder="1" applyAlignment="1">
      <alignment/>
    </xf>
    <xf numFmtId="182" fontId="90" fillId="41" borderId="10" xfId="0" applyNumberFormat="1" applyFont="1" applyFill="1" applyBorder="1" applyAlignment="1">
      <alignment/>
    </xf>
    <xf numFmtId="0" fontId="89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9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0" fillId="41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82" fontId="50" fillId="0" borderId="10" xfId="0" applyNumberFormat="1" applyFont="1" applyBorder="1" applyAlignment="1">
      <alignment/>
    </xf>
    <xf numFmtId="182" fontId="50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5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7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1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79" t="s">
        <v>189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186"/>
    </row>
    <row r="2" spans="2:25" s="1" customFormat="1" ht="15.75" customHeight="1">
      <c r="B2" s="380"/>
      <c r="C2" s="380"/>
      <c r="D2" s="380"/>
      <c r="E2" s="380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81"/>
      <c r="B3" s="383"/>
      <c r="C3" s="384" t="s">
        <v>0</v>
      </c>
      <c r="D3" s="385" t="s">
        <v>131</v>
      </c>
      <c r="E3" s="385" t="s">
        <v>179</v>
      </c>
      <c r="F3" s="25"/>
      <c r="G3" s="386" t="s">
        <v>26</v>
      </c>
      <c r="H3" s="387"/>
      <c r="I3" s="387"/>
      <c r="J3" s="387"/>
      <c r="K3" s="38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89" t="s">
        <v>185</v>
      </c>
      <c r="V3" s="390" t="s">
        <v>186</v>
      </c>
      <c r="W3" s="390"/>
      <c r="X3" s="390"/>
      <c r="Y3" s="194"/>
    </row>
    <row r="4" spans="1:24" ht="22.5" customHeight="1">
      <c r="A4" s="381"/>
      <c r="B4" s="383"/>
      <c r="C4" s="384"/>
      <c r="D4" s="385"/>
      <c r="E4" s="385"/>
      <c r="F4" s="373" t="s">
        <v>182</v>
      </c>
      <c r="G4" s="375" t="s">
        <v>31</v>
      </c>
      <c r="H4" s="363" t="s">
        <v>183</v>
      </c>
      <c r="I4" s="377" t="s">
        <v>184</v>
      </c>
      <c r="J4" s="363" t="s">
        <v>132</v>
      </c>
      <c r="K4" s="37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77"/>
      <c r="V4" s="361" t="s">
        <v>190</v>
      </c>
      <c r="W4" s="363" t="s">
        <v>44</v>
      </c>
      <c r="X4" s="365" t="s">
        <v>43</v>
      </c>
    </row>
    <row r="5" spans="1:24" ht="67.5" customHeight="1">
      <c r="A5" s="382"/>
      <c r="B5" s="383"/>
      <c r="C5" s="384"/>
      <c r="D5" s="385"/>
      <c r="E5" s="385"/>
      <c r="F5" s="374"/>
      <c r="G5" s="376"/>
      <c r="H5" s="364"/>
      <c r="I5" s="378"/>
      <c r="J5" s="364"/>
      <c r="K5" s="378"/>
      <c r="L5" s="366" t="s">
        <v>135</v>
      </c>
      <c r="M5" s="367"/>
      <c r="N5" s="368"/>
      <c r="O5" s="369" t="s">
        <v>168</v>
      </c>
      <c r="P5" s="370"/>
      <c r="Q5" s="371"/>
      <c r="R5" s="372" t="s">
        <v>187</v>
      </c>
      <c r="S5" s="372"/>
      <c r="T5" s="372"/>
      <c r="U5" s="378"/>
      <c r="V5" s="362"/>
      <c r="W5" s="364"/>
      <c r="X5" s="36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418149.82999999996</v>
      </c>
      <c r="H8" s="103">
        <f>G8-F8</f>
        <v>-69738.51000000007</v>
      </c>
      <c r="I8" s="210">
        <f aca="true" t="shared" si="0" ref="I8:I15">G8/F8</f>
        <v>0.8570605110177463</v>
      </c>
      <c r="J8" s="104">
        <f aca="true" t="shared" si="1" ref="J8:J52">G8-E8</f>
        <v>-1162483.9700000002</v>
      </c>
      <c r="K8" s="156">
        <f aca="true" t="shared" si="2" ref="K8:K14">G8/E8</f>
        <v>0.2645456714894999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17837.56999999995</v>
      </c>
      <c r="T8" s="143">
        <f aca="true" t="shared" si="6" ref="T8:T20">G8/R8</f>
        <v>1.0445591399074312</v>
      </c>
      <c r="U8" s="103">
        <f>U9+U15+U18+U19+U23+U17</f>
        <v>126345.40100000001</v>
      </c>
      <c r="V8" s="103">
        <f>V9+V15+V18+V19+V23+V17</f>
        <v>51031.73000000002</v>
      </c>
      <c r="W8" s="103">
        <f>V8-U8</f>
        <v>-75313.671</v>
      </c>
      <c r="X8" s="143">
        <f aca="true" t="shared" si="7" ref="X8:X15">V8/U8</f>
        <v>0.40390651021796997</v>
      </c>
      <c r="Y8" s="199">
        <f aca="true" t="shared" si="8" ref="Y8:Y22">T8-Q8</f>
        <v>-0.14425727162369983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254592.45</v>
      </c>
      <c r="H9" s="102">
        <f>G9-F9</f>
        <v>-29123.690000000002</v>
      </c>
      <c r="I9" s="208">
        <f t="shared" si="0"/>
        <v>0.8973491955727299</v>
      </c>
      <c r="J9" s="108">
        <f t="shared" si="1"/>
        <v>-701610.55</v>
      </c>
      <c r="K9" s="148">
        <f t="shared" si="2"/>
        <v>0.2662535570375747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31496.350000000006</v>
      </c>
      <c r="T9" s="144">
        <f t="shared" si="6"/>
        <v>1.1411783980087504</v>
      </c>
      <c r="U9" s="107">
        <f>F9-березень!F9</f>
        <v>74519.801</v>
      </c>
      <c r="V9" s="110">
        <f>G9-березень!G9</f>
        <v>35796.92000000001</v>
      </c>
      <c r="W9" s="111">
        <f>V9-U9</f>
        <v>-38722.880999999994</v>
      </c>
      <c r="X9" s="148">
        <f t="shared" si="7"/>
        <v>0.48036789577578193</v>
      </c>
      <c r="Y9" s="200">
        <f t="shared" si="8"/>
        <v>-0.09132499387840709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233714.2</v>
      </c>
      <c r="H10" s="71">
        <f aca="true" t="shared" si="9" ref="H10:H47">G10-F10</f>
        <v>-28464.5</v>
      </c>
      <c r="I10" s="209">
        <f t="shared" si="0"/>
        <v>0.8914309209710781</v>
      </c>
      <c r="J10" s="72">
        <f t="shared" si="1"/>
        <v>-648088.8</v>
      </c>
      <c r="K10" s="75">
        <f t="shared" si="2"/>
        <v>0.26504128473139693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29348.340000000026</v>
      </c>
      <c r="T10" s="145">
        <f t="shared" si="6"/>
        <v>1.1436068627118052</v>
      </c>
      <c r="U10" s="73">
        <f>F10-березень!F10</f>
        <v>69300</v>
      </c>
      <c r="V10" s="98">
        <f>G10-березень!G10</f>
        <v>33879.31</v>
      </c>
      <c r="W10" s="74">
        <f aca="true" t="shared" si="10" ref="W10:W52">V10-U10</f>
        <v>-35420.69</v>
      </c>
      <c r="X10" s="75">
        <f t="shared" si="7"/>
        <v>0.48887893217893214</v>
      </c>
      <c r="Y10" s="198">
        <f t="shared" si="8"/>
        <v>-0.09854458191118565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13292.12</v>
      </c>
      <c r="H11" s="71">
        <f t="shared" si="9"/>
        <v>-1242.58</v>
      </c>
      <c r="I11" s="209">
        <f t="shared" si="0"/>
        <v>0.9145094153990107</v>
      </c>
      <c r="J11" s="72">
        <f t="shared" si="1"/>
        <v>-36607.88</v>
      </c>
      <c r="K11" s="75">
        <f t="shared" si="2"/>
        <v>0.2663751503006012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862.9700000000012</v>
      </c>
      <c r="T11" s="145">
        <f t="shared" si="6"/>
        <v>1.0694311356770174</v>
      </c>
      <c r="U11" s="73">
        <f>F11-березень!F11</f>
        <v>3780</v>
      </c>
      <c r="V11" s="98">
        <f>G11-березень!G11</f>
        <v>1268.9300000000003</v>
      </c>
      <c r="W11" s="74">
        <f t="shared" si="10"/>
        <v>-2511.0699999999997</v>
      </c>
      <c r="X11" s="75">
        <f t="shared" si="7"/>
        <v>0.33569576719576727</v>
      </c>
      <c r="Y11" s="198">
        <f t="shared" si="8"/>
        <v>-0.104233338816478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3604.96</v>
      </c>
      <c r="H12" s="71">
        <f t="shared" si="9"/>
        <v>460.5500000000002</v>
      </c>
      <c r="I12" s="209">
        <f t="shared" si="0"/>
        <v>1.1464662687117775</v>
      </c>
      <c r="J12" s="72">
        <f t="shared" si="1"/>
        <v>-8395.04</v>
      </c>
      <c r="K12" s="75">
        <f t="shared" si="2"/>
        <v>0.3004133333333333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995.3699999999999</v>
      </c>
      <c r="T12" s="145">
        <f t="shared" si="6"/>
        <v>1.3814277338585754</v>
      </c>
      <c r="U12" s="73">
        <f>F12-березень!F12</f>
        <v>850.0009999999997</v>
      </c>
      <c r="V12" s="98">
        <f>G12-березень!G12</f>
        <v>325.80999999999995</v>
      </c>
      <c r="W12" s="74">
        <f t="shared" si="10"/>
        <v>-524.1909999999998</v>
      </c>
      <c r="X12" s="75">
        <f t="shared" si="7"/>
        <v>0.3833054314053749</v>
      </c>
      <c r="Y12" s="198">
        <f t="shared" si="8"/>
        <v>0.38077313897775755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3673.56</v>
      </c>
      <c r="H13" s="71">
        <f t="shared" si="9"/>
        <v>59.86000000000013</v>
      </c>
      <c r="I13" s="209">
        <f t="shared" si="0"/>
        <v>1.0165647397404323</v>
      </c>
      <c r="J13" s="72">
        <f t="shared" si="1"/>
        <v>-8326.44</v>
      </c>
      <c r="K13" s="75">
        <f t="shared" si="2"/>
        <v>0.30613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464.23</v>
      </c>
      <c r="T13" s="145">
        <f t="shared" si="6"/>
        <v>1.144650129466275</v>
      </c>
      <c r="U13" s="73">
        <f>F13-березень!F13</f>
        <v>556.7999999999997</v>
      </c>
      <c r="V13" s="98">
        <f>G13-березень!G13</f>
        <v>322.8800000000001</v>
      </c>
      <c r="W13" s="74">
        <f t="shared" si="10"/>
        <v>-233.91999999999962</v>
      </c>
      <c r="X13" s="75">
        <f t="shared" si="7"/>
        <v>0.5798850574712648</v>
      </c>
      <c r="Y13" s="198">
        <f t="shared" si="8"/>
        <v>-0.0509488706144281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29776.29</v>
      </c>
      <c r="H19" s="102">
        <f t="shared" si="9"/>
        <v>-15213.71</v>
      </c>
      <c r="I19" s="208">
        <f t="shared" si="12"/>
        <v>0.6618424094243165</v>
      </c>
      <c r="J19" s="108">
        <f t="shared" si="1"/>
        <v>-121951.70999999999</v>
      </c>
      <c r="K19" s="108">
        <f t="shared" si="11"/>
        <v>19.624782505536224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-6328.470000000001</v>
      </c>
      <c r="T19" s="146">
        <f t="shared" si="6"/>
        <v>0.8247192336966095</v>
      </c>
      <c r="U19" s="107">
        <f>F19-березень!F19</f>
        <v>11375</v>
      </c>
      <c r="V19" s="110">
        <f>G19-березень!G19</f>
        <v>2170.709999999999</v>
      </c>
      <c r="W19" s="111">
        <f t="shared" si="10"/>
        <v>-9204.29</v>
      </c>
      <c r="X19" s="148">
        <f t="shared" si="13"/>
        <v>0.1908316483516483</v>
      </c>
      <c r="Y19" s="197">
        <f t="shared" si="8"/>
        <v>-0.41946137979018105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12857.1</v>
      </c>
      <c r="H20" s="170">
        <f t="shared" si="9"/>
        <v>-4832.9</v>
      </c>
      <c r="I20" s="211">
        <f t="shared" si="12"/>
        <v>0.7268004522329</v>
      </c>
      <c r="J20" s="171">
        <f t="shared" si="1"/>
        <v>-53850.9</v>
      </c>
      <c r="K20" s="171">
        <f t="shared" si="11"/>
        <v>19.273700305810397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-9122.480000000001</v>
      </c>
      <c r="T20" s="172">
        <f t="shared" si="6"/>
        <v>0.5849565824278716</v>
      </c>
      <c r="U20" s="136">
        <f>F20-березень!F20</f>
        <v>4475</v>
      </c>
      <c r="V20" s="124">
        <f>G20-березень!G20</f>
        <v>218.72999999999956</v>
      </c>
      <c r="W20" s="116">
        <f t="shared" si="10"/>
        <v>-4256.27</v>
      </c>
      <c r="X20" s="180">
        <f t="shared" si="13"/>
        <v>0.048878212290502696</v>
      </c>
      <c r="Y20" s="197">
        <f t="shared" si="8"/>
        <v>-0.5133624665122624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3633.39</v>
      </c>
      <c r="H21" s="170">
        <f t="shared" si="9"/>
        <v>-1566.6100000000001</v>
      </c>
      <c r="I21" s="211">
        <f t="shared" si="12"/>
        <v>0.6987288461538461</v>
      </c>
      <c r="J21" s="171">
        <f t="shared" si="1"/>
        <v>-12062.61</v>
      </c>
      <c r="K21" s="171">
        <f t="shared" si="11"/>
        <v>23.148509174311926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514.4499999999998</v>
      </c>
      <c r="T21" s="172"/>
      <c r="U21" s="136">
        <f>F21-березень!F21</f>
        <v>1300</v>
      </c>
      <c r="V21" s="124">
        <f>G21-березень!G21</f>
        <v>120.52999999999975</v>
      </c>
      <c r="W21" s="116">
        <f t="shared" si="10"/>
        <v>-1179.4700000000003</v>
      </c>
      <c r="X21" s="180">
        <f t="shared" si="13"/>
        <v>0.09271538461538442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13285.81</v>
      </c>
      <c r="H22" s="170">
        <f t="shared" si="9"/>
        <v>-8814.19</v>
      </c>
      <c r="I22" s="211">
        <f t="shared" si="12"/>
        <v>0.6011678733031673</v>
      </c>
      <c r="J22" s="171">
        <f t="shared" si="1"/>
        <v>-56038.19</v>
      </c>
      <c r="K22" s="171">
        <f t="shared" si="11"/>
        <v>19.164805839247588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2279.5699999999997</v>
      </c>
      <c r="T22" s="172"/>
      <c r="U22" s="136">
        <f>F22-березень!F22</f>
        <v>5600</v>
      </c>
      <c r="V22" s="124">
        <f>G22-березень!G22</f>
        <v>1831.4599999999991</v>
      </c>
      <c r="W22" s="116">
        <f t="shared" si="10"/>
        <v>-3768.540000000001</v>
      </c>
      <c r="X22" s="180">
        <f t="shared" si="13"/>
        <v>0.3270464285714284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133249.23</v>
      </c>
      <c r="H23" s="102">
        <f t="shared" si="9"/>
        <v>-25747.97</v>
      </c>
      <c r="I23" s="208">
        <f t="shared" si="12"/>
        <v>0.8380602299914716</v>
      </c>
      <c r="J23" s="108">
        <f t="shared" si="1"/>
        <v>-338317.97</v>
      </c>
      <c r="K23" s="108">
        <f t="shared" si="11"/>
        <v>28.25667900566452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-8060.059999999998</v>
      </c>
      <c r="T23" s="147">
        <f aca="true" t="shared" si="14" ref="T23:T41">G23/R23</f>
        <v>0.9429615703256311</v>
      </c>
      <c r="U23" s="107">
        <f>F23-березень!F23</f>
        <v>40445.600000000006</v>
      </c>
      <c r="V23" s="110">
        <f>G23-березень!G23</f>
        <v>13064.100000000006</v>
      </c>
      <c r="W23" s="111">
        <f t="shared" si="10"/>
        <v>-27381.5</v>
      </c>
      <c r="X23" s="148">
        <f t="shared" si="13"/>
        <v>0.3230042328460946</v>
      </c>
      <c r="Y23" s="197">
        <f>T23-Q23</f>
        <v>-0.15190998343906426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54060.79</v>
      </c>
      <c r="H24" s="102">
        <f t="shared" si="9"/>
        <v>-15729.220000000008</v>
      </c>
      <c r="I24" s="208">
        <f t="shared" si="12"/>
        <v>0.7746207515946766</v>
      </c>
      <c r="J24" s="108">
        <f t="shared" si="1"/>
        <v>-162781.21</v>
      </c>
      <c r="K24" s="148">
        <f aca="true" t="shared" si="15" ref="K24:K41">G24/E24</f>
        <v>0.2493095894706745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-13616.21</v>
      </c>
      <c r="T24" s="147">
        <f t="shared" si="14"/>
        <v>0.7988059458900365</v>
      </c>
      <c r="U24" s="107">
        <f>F24-березень!F24</f>
        <v>19921.000000000015</v>
      </c>
      <c r="V24" s="110">
        <f>G24-березень!G24</f>
        <v>2993.770000000004</v>
      </c>
      <c r="W24" s="111">
        <f t="shared" si="10"/>
        <v>-16927.23000000001</v>
      </c>
      <c r="X24" s="148">
        <f t="shared" si="13"/>
        <v>0.15028211435168926</v>
      </c>
      <c r="Y24" s="197">
        <f aca="true" t="shared" si="16" ref="Y24:Y99">T24-Q24</f>
        <v>-0.24757209894234222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7768.67</v>
      </c>
      <c r="H25" s="170">
        <f t="shared" si="9"/>
        <v>-3467.83</v>
      </c>
      <c r="I25" s="211">
        <f t="shared" si="12"/>
        <v>0.6913780981622392</v>
      </c>
      <c r="J25" s="171">
        <f t="shared" si="1"/>
        <v>-21015.33</v>
      </c>
      <c r="K25" s="180">
        <f t="shared" si="15"/>
        <v>0.2698954280155642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-1977.6399999999994</v>
      </c>
      <c r="T25" s="152">
        <f t="shared" si="14"/>
        <v>0.7970883339438208</v>
      </c>
      <c r="U25" s="136">
        <f>F25-березень!F25</f>
        <v>4879</v>
      </c>
      <c r="V25" s="124">
        <f>G25-березень!G25</f>
        <v>826.9200000000001</v>
      </c>
      <c r="W25" s="116">
        <f t="shared" si="10"/>
        <v>-4052.08</v>
      </c>
      <c r="X25" s="180">
        <f t="shared" si="13"/>
        <v>0.16948555031768806</v>
      </c>
      <c r="Y25" s="197">
        <f t="shared" si="16"/>
        <v>-0.3355086120107178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592.04</v>
      </c>
      <c r="H26" s="158">
        <f t="shared" si="9"/>
        <v>311.42999999999995</v>
      </c>
      <c r="I26" s="212">
        <f t="shared" si="12"/>
        <v>2.1098321513844835</v>
      </c>
      <c r="J26" s="176">
        <f t="shared" si="1"/>
        <v>-929.96</v>
      </c>
      <c r="K26" s="191">
        <f t="shared" si="15"/>
        <v>0.38898817345597897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391.79999999999995</v>
      </c>
      <c r="T26" s="162">
        <f t="shared" si="14"/>
        <v>2.956652017578905</v>
      </c>
      <c r="U26" s="167">
        <f>F26-березень!F26</f>
        <v>69</v>
      </c>
      <c r="V26" s="167">
        <f>G26-березень!G26</f>
        <v>80.47999999999996</v>
      </c>
      <c r="W26" s="176">
        <f t="shared" si="10"/>
        <v>11.479999999999961</v>
      </c>
      <c r="X26" s="191">
        <f t="shared" si="13"/>
        <v>1.1663768115942024</v>
      </c>
      <c r="Y26" s="197">
        <f t="shared" si="16"/>
        <v>1.9506304297569221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7176.64</v>
      </c>
      <c r="H27" s="158">
        <f t="shared" si="9"/>
        <v>-3779.249999999999</v>
      </c>
      <c r="I27" s="212">
        <f t="shared" si="12"/>
        <v>0.655048562919124</v>
      </c>
      <c r="J27" s="176">
        <f t="shared" si="1"/>
        <v>-20085.36</v>
      </c>
      <c r="K27" s="191">
        <f t="shared" si="15"/>
        <v>0.2632470104907931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-2369.4299999999994</v>
      </c>
      <c r="T27" s="162">
        <f t="shared" si="14"/>
        <v>0.7517900036350038</v>
      </c>
      <c r="U27" s="167">
        <f>F27-березень!F27</f>
        <v>4809.999999999999</v>
      </c>
      <c r="V27" s="167">
        <f>G27-березень!G27</f>
        <v>746.4500000000007</v>
      </c>
      <c r="W27" s="176">
        <f t="shared" si="10"/>
        <v>-4063.5499999999984</v>
      </c>
      <c r="X27" s="191">
        <f t="shared" si="13"/>
        <v>0.15518711018711037</v>
      </c>
      <c r="Y27" s="197">
        <f t="shared" si="16"/>
        <v>-0.38881836545652604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106.82</v>
      </c>
      <c r="H28" s="218">
        <f t="shared" si="9"/>
        <v>-25.980000000000018</v>
      </c>
      <c r="I28" s="220">
        <f t="shared" si="12"/>
        <v>0.8043674698795179</v>
      </c>
      <c r="J28" s="221">
        <f t="shared" si="1"/>
        <v>-209.18</v>
      </c>
      <c r="K28" s="222">
        <f t="shared" si="15"/>
        <v>0.3380379746835443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-62.25</v>
      </c>
      <c r="T28" s="222">
        <f t="shared" si="14"/>
        <v>0.6318093097533566</v>
      </c>
      <c r="U28" s="206">
        <f>F28-березень!F28</f>
        <v>65.00000000000001</v>
      </c>
      <c r="V28" s="206">
        <f>G28-березень!G28</f>
        <v>25.25</v>
      </c>
      <c r="W28" s="221">
        <f t="shared" si="10"/>
        <v>-39.750000000000014</v>
      </c>
      <c r="X28" s="222">
        <f t="shared" si="13"/>
        <v>0.38846153846153836</v>
      </c>
      <c r="Y28" s="354">
        <f t="shared" si="16"/>
        <v>-0.513491694197207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485.22</v>
      </c>
      <c r="H29" s="218">
        <f t="shared" si="9"/>
        <v>337.41</v>
      </c>
      <c r="I29" s="220">
        <f t="shared" si="12"/>
        <v>3.2827278262634465</v>
      </c>
      <c r="J29" s="221">
        <f t="shared" si="1"/>
        <v>-720.78</v>
      </c>
      <c r="K29" s="222">
        <f t="shared" si="15"/>
        <v>0.40233830845771146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454.05</v>
      </c>
      <c r="T29" s="222">
        <f t="shared" si="14"/>
        <v>15.56689124157844</v>
      </c>
      <c r="U29" s="206">
        <f>F29-березень!F29</f>
        <v>4</v>
      </c>
      <c r="V29" s="206">
        <f>G29-березень!G29</f>
        <v>55.23000000000002</v>
      </c>
      <c r="W29" s="221">
        <f t="shared" si="10"/>
        <v>51.23000000000002</v>
      </c>
      <c r="X29" s="222">
        <f t="shared" si="13"/>
        <v>13.807500000000005</v>
      </c>
      <c r="Y29" s="354">
        <f t="shared" si="16"/>
        <v>14.591936108916636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591.13</v>
      </c>
      <c r="H30" s="218">
        <f t="shared" si="9"/>
        <v>261.04</v>
      </c>
      <c r="I30" s="220">
        <f t="shared" si="12"/>
        <v>1.7908146263140357</v>
      </c>
      <c r="J30" s="221">
        <f t="shared" si="1"/>
        <v>-1763.87</v>
      </c>
      <c r="K30" s="222">
        <f t="shared" si="15"/>
        <v>0.25101061571125266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519.72</v>
      </c>
      <c r="T30" s="222">
        <f t="shared" si="14"/>
        <v>8.277972272790926</v>
      </c>
      <c r="U30" s="206">
        <f>F30-березень!F30</f>
        <v>10</v>
      </c>
      <c r="V30" s="206">
        <f>G30-березень!G30</f>
        <v>38.17999999999995</v>
      </c>
      <c r="W30" s="221">
        <f t="shared" si="10"/>
        <v>28.17999999999995</v>
      </c>
      <c r="X30" s="222">
        <f t="shared" si="13"/>
        <v>3.817999999999995</v>
      </c>
      <c r="Y30" s="354">
        <f t="shared" si="16"/>
        <v>7.217280909205744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6585.51</v>
      </c>
      <c r="H31" s="218">
        <f t="shared" si="9"/>
        <v>-4040.289999999999</v>
      </c>
      <c r="I31" s="220">
        <f t="shared" si="12"/>
        <v>0.6197660411451373</v>
      </c>
      <c r="J31" s="221">
        <f t="shared" si="1"/>
        <v>-18321.489999999998</v>
      </c>
      <c r="K31" s="222">
        <f t="shared" si="15"/>
        <v>0.2644039828160758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-2889.1499999999996</v>
      </c>
      <c r="T31" s="222">
        <f t="shared" si="14"/>
        <v>0.6950655749124507</v>
      </c>
      <c r="U31" s="206">
        <f>F31-березень!F31</f>
        <v>4799.999999999999</v>
      </c>
      <c r="V31" s="206">
        <f>G31-березень!G31</f>
        <v>708.2700000000004</v>
      </c>
      <c r="W31" s="221"/>
      <c r="X31" s="222">
        <f t="shared" si="13"/>
        <v>0.1475562500000001</v>
      </c>
      <c r="Y31" s="354">
        <f t="shared" si="16"/>
        <v>-0.4537267103249204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378.5</v>
      </c>
      <c r="H32" s="170">
        <f t="shared" si="9"/>
        <v>206.47</v>
      </c>
      <c r="I32" s="211">
        <f t="shared" si="12"/>
        <v>2.200197639946521</v>
      </c>
      <c r="J32" s="171">
        <f t="shared" si="1"/>
        <v>96.5</v>
      </c>
      <c r="K32" s="180">
        <f t="shared" si="15"/>
        <v>1.3421985815602837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273.99</v>
      </c>
      <c r="T32" s="150">
        <f t="shared" si="14"/>
        <v>3.6216629987560998</v>
      </c>
      <c r="U32" s="136">
        <f>F32-березень!F32</f>
        <v>12</v>
      </c>
      <c r="V32" s="124">
        <f>G32-березень!G32</f>
        <v>33.43000000000001</v>
      </c>
      <c r="W32" s="116">
        <f t="shared" si="10"/>
        <v>21.430000000000007</v>
      </c>
      <c r="X32" s="180">
        <f t="shared" si="13"/>
        <v>2.785833333333334</v>
      </c>
      <c r="Y32" s="198">
        <f t="shared" si="16"/>
        <v>3.1846298648255913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4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257.11</v>
      </c>
      <c r="H34" s="71">
        <f t="shared" si="9"/>
        <v>112.93</v>
      </c>
      <c r="I34" s="209">
        <f t="shared" si="12"/>
        <v>1.783257039811347</v>
      </c>
      <c r="J34" s="72">
        <f t="shared" si="1"/>
        <v>75.11000000000001</v>
      </c>
      <c r="K34" s="75">
        <f t="shared" si="15"/>
        <v>1.4126923076923077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109.19000000000003</v>
      </c>
      <c r="T34" s="75">
        <f t="shared" si="14"/>
        <v>1.7381692806922664</v>
      </c>
      <c r="U34" s="73">
        <f>F34-березень!F34</f>
        <v>12</v>
      </c>
      <c r="V34" s="98">
        <f>G34-березень!G34</f>
        <v>33.380000000000024</v>
      </c>
      <c r="W34" s="74"/>
      <c r="X34" s="75">
        <f t="shared" si="13"/>
        <v>2.7816666666666685</v>
      </c>
      <c r="Y34" s="354">
        <f t="shared" si="16"/>
        <v>1.287573851017339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45913.62</v>
      </c>
      <c r="H35" s="102">
        <f t="shared" si="9"/>
        <v>-12467.86</v>
      </c>
      <c r="I35" s="211">
        <f t="shared" si="12"/>
        <v>0.7864415222087553</v>
      </c>
      <c r="J35" s="171">
        <f t="shared" si="1"/>
        <v>-141862.38</v>
      </c>
      <c r="K35" s="180">
        <f t="shared" si="15"/>
        <v>0.2445127172801636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-11912.54</v>
      </c>
      <c r="T35" s="149">
        <f t="shared" si="14"/>
        <v>0.7939939293911268</v>
      </c>
      <c r="U35" s="136">
        <f>F35-березень!F35</f>
        <v>15030.000000000007</v>
      </c>
      <c r="V35" s="124">
        <f>G35-березень!G35</f>
        <v>2133.4200000000055</v>
      </c>
      <c r="W35" s="116">
        <f t="shared" si="10"/>
        <v>-12896.580000000002</v>
      </c>
      <c r="X35" s="180">
        <f t="shared" si="13"/>
        <v>0.14194411177644742</v>
      </c>
      <c r="Y35" s="198">
        <f t="shared" si="16"/>
        <v>-0.24245985053609254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31760.58</v>
      </c>
      <c r="H37" s="158">
        <f t="shared" si="9"/>
        <v>-7325.669999999998</v>
      </c>
      <c r="I37" s="212">
        <f t="shared" si="12"/>
        <v>0.8125768013048067</v>
      </c>
      <c r="J37" s="176">
        <f t="shared" si="1"/>
        <v>-95325.42</v>
      </c>
      <c r="K37" s="191">
        <f t="shared" si="15"/>
        <v>0.24991407393418633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-6761.050000000003</v>
      </c>
      <c r="T37" s="162">
        <f t="shared" si="14"/>
        <v>0.8244869181288538</v>
      </c>
      <c r="U37" s="167">
        <f>F37-березень!F37</f>
        <v>10100</v>
      </c>
      <c r="V37" s="167">
        <f>G37-березень!G37</f>
        <v>1630.0700000000033</v>
      </c>
      <c r="W37" s="176">
        <f t="shared" si="10"/>
        <v>-8469.929999999997</v>
      </c>
      <c r="X37" s="191">
        <f>V37/U37</f>
        <v>0.16139306930693104</v>
      </c>
      <c r="Y37" s="197">
        <f t="shared" si="16"/>
        <v>-0.21241714413532342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13858.46</v>
      </c>
      <c r="H38" s="218">
        <f t="shared" si="9"/>
        <v>-4625.940000000002</v>
      </c>
      <c r="I38" s="220">
        <f t="shared" si="12"/>
        <v>0.7497381575815281</v>
      </c>
      <c r="J38" s="221">
        <f t="shared" si="1"/>
        <v>-43431.54</v>
      </c>
      <c r="K38" s="222">
        <f t="shared" si="15"/>
        <v>0.24190015709547913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-5063.41</v>
      </c>
      <c r="T38" s="222">
        <f t="shared" si="14"/>
        <v>0.7324043553834796</v>
      </c>
      <c r="U38" s="206">
        <f>F38-березень!F38</f>
        <v>4700.000000000002</v>
      </c>
      <c r="V38" s="206">
        <f>G38-березень!G38</f>
        <v>474.8899999999994</v>
      </c>
      <c r="W38" s="221">
        <f t="shared" si="10"/>
        <v>-4225.110000000002</v>
      </c>
      <c r="X38" s="222">
        <f t="shared" si="18"/>
        <v>10.104042553191473</v>
      </c>
      <c r="Y38" s="354">
        <f t="shared" si="16"/>
        <v>-0.30458929341506313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26304.72</v>
      </c>
      <c r="H39" s="218">
        <f t="shared" si="9"/>
        <v>-6688.729999999996</v>
      </c>
      <c r="I39" s="220">
        <f t="shared" si="12"/>
        <v>0.7972709734811001</v>
      </c>
      <c r="J39" s="221">
        <f t="shared" si="1"/>
        <v>-79681.28</v>
      </c>
      <c r="K39" s="222">
        <f t="shared" si="15"/>
        <v>0.24819051572849246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-5981.16</v>
      </c>
      <c r="T39" s="222">
        <f t="shared" si="14"/>
        <v>0.8147437827310267</v>
      </c>
      <c r="U39" s="206">
        <f>F39-березень!F39</f>
        <v>8599.999999999996</v>
      </c>
      <c r="V39" s="206">
        <f>G39-березень!G39</f>
        <v>1100.010000000002</v>
      </c>
      <c r="W39" s="221">
        <f t="shared" si="10"/>
        <v>-7499.989999999994</v>
      </c>
      <c r="X39" s="222">
        <f t="shared" si="18"/>
        <v>12.7908139534884</v>
      </c>
      <c r="Y39" s="354">
        <f t="shared" si="16"/>
        <v>-0.22233826569829596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294.58</v>
      </c>
      <c r="H40" s="218">
        <f t="shared" si="9"/>
        <v>-516.25</v>
      </c>
      <c r="I40" s="220">
        <f t="shared" si="12"/>
        <v>0.36330673507393657</v>
      </c>
      <c r="J40" s="221">
        <f t="shared" si="1"/>
        <v>-3105.42</v>
      </c>
      <c r="K40" s="222">
        <f t="shared" si="15"/>
        <v>0.08664117647058824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-88.09000000000003</v>
      </c>
      <c r="T40" s="222">
        <f t="shared" si="14"/>
        <v>0.7698016567799931</v>
      </c>
      <c r="U40" s="206">
        <f>F40-березень!F40</f>
        <v>230</v>
      </c>
      <c r="V40" s="206">
        <f>G40-березень!G40</f>
        <v>28.45999999999998</v>
      </c>
      <c r="W40" s="221">
        <f t="shared" si="10"/>
        <v>-201.54000000000002</v>
      </c>
      <c r="X40" s="222">
        <f t="shared" si="18"/>
        <v>12.373913043478252</v>
      </c>
      <c r="Y40" s="354">
        <f t="shared" si="16"/>
        <v>-0.24136880276724038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5455.86</v>
      </c>
      <c r="H41" s="218">
        <f t="shared" si="9"/>
        <v>-636.9400000000005</v>
      </c>
      <c r="I41" s="220">
        <f t="shared" si="12"/>
        <v>0.8954602153361344</v>
      </c>
      <c r="J41" s="221">
        <f t="shared" si="1"/>
        <v>-15644.14</v>
      </c>
      <c r="K41" s="222">
        <f t="shared" si="15"/>
        <v>0.25857156398104264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-779.8900000000003</v>
      </c>
      <c r="T41" s="222">
        <f t="shared" si="14"/>
        <v>0.8749324459768271</v>
      </c>
      <c r="U41" s="206">
        <f>F41-березень!F41</f>
        <v>1500</v>
      </c>
      <c r="V41" s="206">
        <f>G41-березень!G41</f>
        <v>530.0599999999995</v>
      </c>
      <c r="W41" s="221">
        <f t="shared" si="10"/>
        <v>-969.9400000000005</v>
      </c>
      <c r="X41" s="222">
        <f t="shared" si="18"/>
        <v>35.3373333333333</v>
      </c>
      <c r="Y41" s="354">
        <f t="shared" si="16"/>
        <v>-0.16107850922527356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-5.18</v>
      </c>
      <c r="T43" s="148">
        <f aca="true" t="shared" si="19" ref="T43:T51">G43/R43</f>
        <v>0.9011639000190803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355">
        <f t="shared" si="16"/>
        <v>-0.2109391480615217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54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-16.22</v>
      </c>
      <c r="T45" s="75">
        <f t="shared" si="19"/>
        <v>0.33930753564154786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354">
        <f t="shared" si="16"/>
        <v>-0.8523267056035884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79142.44</v>
      </c>
      <c r="H47" s="102">
        <f t="shared" si="9"/>
        <v>-10014.319999999992</v>
      </c>
      <c r="I47" s="208">
        <f>G47/F47</f>
        <v>0.8876773898019624</v>
      </c>
      <c r="J47" s="108">
        <f t="shared" si="1"/>
        <v>-175408.36</v>
      </c>
      <c r="K47" s="148">
        <f>G47/E47</f>
        <v>0.31091019945723997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5535.400000000009</v>
      </c>
      <c r="T47" s="160">
        <f t="shared" si="19"/>
        <v>1.0752020458912628</v>
      </c>
      <c r="U47" s="107">
        <f>F47-березень!F47</f>
        <v>20507.59999999999</v>
      </c>
      <c r="V47" s="110">
        <f>G47-березень!G47</f>
        <v>10069.790000000008</v>
      </c>
      <c r="W47" s="111">
        <f t="shared" si="10"/>
        <v>-10437.809999999983</v>
      </c>
      <c r="X47" s="148">
        <f>V47/U47</f>
        <v>0.49102722892976325</v>
      </c>
      <c r="Y47" s="197">
        <f t="shared" si="16"/>
        <v>-0.06439958859364125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16135.83</v>
      </c>
      <c r="H49" s="71">
        <f>G49-F49</f>
        <v>-2848.039999999999</v>
      </c>
      <c r="I49" s="209">
        <f>G49/F49</f>
        <v>0.8499757952409072</v>
      </c>
      <c r="J49" s="72">
        <f t="shared" si="1"/>
        <v>-39579.17</v>
      </c>
      <c r="K49" s="75">
        <f>G49/E49</f>
        <v>0.28961374854168537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2137.41</v>
      </c>
      <c r="T49" s="153">
        <f t="shared" si="19"/>
        <v>1.1526893749437437</v>
      </c>
      <c r="U49" s="73">
        <f>F49-березень!F49</f>
        <v>3999.999999999998</v>
      </c>
      <c r="V49" s="98">
        <f>G49-березень!G49</f>
        <v>1629.5900000000001</v>
      </c>
      <c r="W49" s="74">
        <f t="shared" si="10"/>
        <v>-2370.409999999998</v>
      </c>
      <c r="X49" s="75">
        <f>V49/U49</f>
        <v>0.40739750000000025</v>
      </c>
      <c r="Y49" s="197">
        <f t="shared" si="16"/>
        <v>-0.08458753657857665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62984.31</v>
      </c>
      <c r="H50" s="71">
        <f>G50-F50</f>
        <v>-7156.180000000008</v>
      </c>
      <c r="I50" s="209">
        <f>G50/F50</f>
        <v>0.8979736240793298</v>
      </c>
      <c r="J50" s="72">
        <f t="shared" si="1"/>
        <v>-135770.69</v>
      </c>
      <c r="K50" s="75">
        <f>G50/E50</f>
        <v>0.31689421649769817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3398.790000000001</v>
      </c>
      <c r="T50" s="153">
        <f t="shared" si="19"/>
        <v>1.0570405360228459</v>
      </c>
      <c r="U50" s="73">
        <f>F50-березень!F50</f>
        <v>16500.000000000007</v>
      </c>
      <c r="V50" s="98">
        <f>G50-березень!G50</f>
        <v>8440.21</v>
      </c>
      <c r="W50" s="74">
        <f t="shared" si="10"/>
        <v>-8059.790000000008</v>
      </c>
      <c r="X50" s="75">
        <f>V50/U50</f>
        <v>0.5115278787878785</v>
      </c>
      <c r="Y50" s="197">
        <f t="shared" si="16"/>
        <v>-0.057867931032564046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14792.400000000001</v>
      </c>
      <c r="H53" s="103">
        <f>H54+H55+H56+H57+H58+H60+H62+H63+H64+H65+H66+H71+H72+H76+H59+H61</f>
        <v>401.85000000000025</v>
      </c>
      <c r="I53" s="143">
        <f aca="true" t="shared" si="20" ref="I53:I72">G53/F53</f>
        <v>1.0279245755026738</v>
      </c>
      <c r="J53" s="104">
        <f>G53-E53</f>
        <v>-32456.5</v>
      </c>
      <c r="K53" s="156">
        <f aca="true" t="shared" si="21" ref="K53:K72">G53/E53</f>
        <v>0.3130739551608609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-4645.5</v>
      </c>
      <c r="T53" s="143">
        <f>G53/R53</f>
        <v>0.7610081335946784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3294.9100000000008</v>
      </c>
      <c r="W53" s="103">
        <f>W54+W55+W56+W57+W58+W60+W62+W63+W64+W65+W66+W71+W72+W76</f>
        <v>-459.59199999999896</v>
      </c>
      <c r="X53" s="143">
        <f>V53/U53</f>
        <v>0.8792283499781991</v>
      </c>
      <c r="Y53" s="197">
        <f t="shared" si="16"/>
        <v>0.08000160990475647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238.84</v>
      </c>
      <c r="H58" s="102">
        <f t="shared" si="22"/>
        <v>30.409999999999997</v>
      </c>
      <c r="I58" s="213">
        <f t="shared" si="20"/>
        <v>1.1459003022597514</v>
      </c>
      <c r="J58" s="115">
        <f t="shared" si="24"/>
        <v>-505.15999999999997</v>
      </c>
      <c r="K58" s="155">
        <f t="shared" si="21"/>
        <v>0.3210215053763441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-155.64000000000001</v>
      </c>
      <c r="T58" s="155">
        <f t="shared" si="27"/>
        <v>0.6054552829040762</v>
      </c>
      <c r="U58" s="107">
        <f>F58-березень!F58</f>
        <v>60</v>
      </c>
      <c r="V58" s="110">
        <f>G58-березень!G58</f>
        <v>14.25</v>
      </c>
      <c r="W58" s="111">
        <f t="shared" si="23"/>
        <v>-45.75</v>
      </c>
      <c r="X58" s="155">
        <f t="shared" si="28"/>
        <v>0.2375</v>
      </c>
      <c r="Y58" s="197">
        <f t="shared" si="16"/>
        <v>-0.4494000289446145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25.62</v>
      </c>
      <c r="H59" s="102">
        <f t="shared" si="22"/>
        <v>-4.379999999999999</v>
      </c>
      <c r="I59" s="213">
        <f t="shared" si="20"/>
        <v>0.854</v>
      </c>
      <c r="J59" s="115">
        <f t="shared" si="24"/>
        <v>-89.88</v>
      </c>
      <c r="K59" s="155">
        <f t="shared" si="21"/>
        <v>0.22181818181818183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24.61</v>
      </c>
      <c r="T59" s="155">
        <f t="shared" si="27"/>
        <v>25.366336633663366</v>
      </c>
      <c r="U59" s="107">
        <f>F59-березень!F59</f>
        <v>10</v>
      </c>
      <c r="V59" s="110">
        <f>G59-березень!G59</f>
        <v>17</v>
      </c>
      <c r="W59" s="111">
        <f t="shared" si="23"/>
        <v>7</v>
      </c>
      <c r="X59" s="155">
        <f t="shared" si="28"/>
        <v>1.7</v>
      </c>
      <c r="Y59" s="197">
        <f t="shared" si="16"/>
        <v>24.355837945999323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333.06</v>
      </c>
      <c r="H60" s="102">
        <f t="shared" si="22"/>
        <v>-50.94</v>
      </c>
      <c r="I60" s="213">
        <f t="shared" si="20"/>
        <v>0.86734375</v>
      </c>
      <c r="J60" s="115">
        <f t="shared" si="24"/>
        <v>-950.94</v>
      </c>
      <c r="K60" s="155">
        <f t="shared" si="21"/>
        <v>0.259392523364486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-60.410000000000025</v>
      </c>
      <c r="T60" s="155">
        <f t="shared" si="27"/>
        <v>0.8464685998932574</v>
      </c>
      <c r="U60" s="107">
        <f>F60-березень!F60</f>
        <v>100</v>
      </c>
      <c r="V60" s="110">
        <f>G60-березень!G60</f>
        <v>52.73000000000002</v>
      </c>
      <c r="W60" s="111">
        <f t="shared" si="23"/>
        <v>-47.26999999999998</v>
      </c>
      <c r="X60" s="155">
        <f t="shared" si="28"/>
        <v>0.5273000000000002</v>
      </c>
      <c r="Y60" s="197">
        <f t="shared" si="16"/>
        <v>-0.21896778094216407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7196.89</v>
      </c>
      <c r="H62" s="102">
        <f t="shared" si="22"/>
        <v>-293.1099999999997</v>
      </c>
      <c r="I62" s="213">
        <f t="shared" si="20"/>
        <v>0.9608664886515355</v>
      </c>
      <c r="J62" s="115">
        <f t="shared" si="24"/>
        <v>-14063.11</v>
      </c>
      <c r="K62" s="155">
        <f t="shared" si="21"/>
        <v>0.33851787394167454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2515.38</v>
      </c>
      <c r="T62" s="155">
        <f t="shared" si="27"/>
        <v>1.5373009990366355</v>
      </c>
      <c r="U62" s="107">
        <f>F62-березень!F62</f>
        <v>1800</v>
      </c>
      <c r="V62" s="110">
        <f>G62-березень!G62</f>
        <v>994.9500000000007</v>
      </c>
      <c r="W62" s="111">
        <f t="shared" si="23"/>
        <v>-805.0499999999993</v>
      </c>
      <c r="X62" s="155">
        <f t="shared" si="28"/>
        <v>0.5527500000000004</v>
      </c>
      <c r="Y62" s="197">
        <f t="shared" si="16"/>
        <v>0.48012287894398575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231.82</v>
      </c>
      <c r="H63" s="102">
        <f t="shared" si="22"/>
        <v>-17.180000000000007</v>
      </c>
      <c r="I63" s="213">
        <f t="shared" si="20"/>
        <v>0.931004016064257</v>
      </c>
      <c r="J63" s="115">
        <f t="shared" si="24"/>
        <v>-535.1800000000001</v>
      </c>
      <c r="K63" s="155">
        <f t="shared" si="21"/>
        <v>0.3022425032594524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56.44999999999999</v>
      </c>
      <c r="T63" s="155">
        <f t="shared" si="27"/>
        <v>1.3218908593259964</v>
      </c>
      <c r="U63" s="107">
        <f>F63-березень!F63</f>
        <v>64</v>
      </c>
      <c r="V63" s="110">
        <f>G63-березень!G63</f>
        <v>29.659999999999997</v>
      </c>
      <c r="W63" s="111">
        <f t="shared" si="23"/>
        <v>-34.34</v>
      </c>
      <c r="X63" s="155">
        <f t="shared" si="28"/>
        <v>0.46343749999999995</v>
      </c>
      <c r="Y63" s="197">
        <f t="shared" si="16"/>
        <v>0.24167002669684856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179.94</v>
      </c>
      <c r="H66" s="102">
        <f t="shared" si="22"/>
        <v>-89.69999999999999</v>
      </c>
      <c r="I66" s="213">
        <f t="shared" si="20"/>
        <v>0.6673342234089897</v>
      </c>
      <c r="J66" s="115">
        <f t="shared" si="24"/>
        <v>-686.06</v>
      </c>
      <c r="K66" s="155">
        <f t="shared" si="21"/>
        <v>0.20778290993071594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-109.32</v>
      </c>
      <c r="T66" s="155">
        <f t="shared" si="27"/>
        <v>0.622070109935698</v>
      </c>
      <c r="U66" s="107">
        <f>F66-березень!F66</f>
        <v>74.5</v>
      </c>
      <c r="V66" s="110">
        <f>G66-березень!G66</f>
        <v>19.639999999999986</v>
      </c>
      <c r="W66" s="111">
        <f t="shared" si="23"/>
        <v>-54.860000000000014</v>
      </c>
      <c r="X66" s="155">
        <f t="shared" si="28"/>
        <v>0.2636241610738253</v>
      </c>
      <c r="Y66" s="197">
        <f t="shared" si="16"/>
        <v>-0.3442104908096547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138.71</v>
      </c>
      <c r="H67" s="71">
        <f t="shared" si="22"/>
        <v>-84.70999999999998</v>
      </c>
      <c r="I67" s="209">
        <f t="shared" si="20"/>
        <v>0.6208486259063648</v>
      </c>
      <c r="J67" s="72">
        <f t="shared" si="24"/>
        <v>-589.49</v>
      </c>
      <c r="K67" s="75">
        <f t="shared" si="21"/>
        <v>0.19048338368580062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-116.66999999999999</v>
      </c>
      <c r="T67" s="204">
        <f t="shared" si="27"/>
        <v>0.5431513822538961</v>
      </c>
      <c r="U67" s="73">
        <f>F67-березень!F67</f>
        <v>63</v>
      </c>
      <c r="V67" s="98">
        <f>G67-березень!G67</f>
        <v>14.250000000000014</v>
      </c>
      <c r="W67" s="74">
        <f t="shared" si="23"/>
        <v>-48.749999999999986</v>
      </c>
      <c r="X67" s="75">
        <f t="shared" si="28"/>
        <v>0.2261904761904764</v>
      </c>
      <c r="Y67" s="197">
        <f t="shared" si="16"/>
        <v>-0.41422549450453783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41.17</v>
      </c>
      <c r="H70" s="71">
        <f t="shared" si="22"/>
        <v>-4.850000000000001</v>
      </c>
      <c r="I70" s="209">
        <f t="shared" si="20"/>
        <v>0.8946110386788353</v>
      </c>
      <c r="J70" s="72">
        <f t="shared" si="24"/>
        <v>-95.63000000000001</v>
      </c>
      <c r="K70" s="75">
        <f t="shared" si="21"/>
        <v>0.3009502923976608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7.399999999999999</v>
      </c>
      <c r="T70" s="204">
        <f t="shared" si="27"/>
        <v>1.2191294047971573</v>
      </c>
      <c r="U70" s="73">
        <f>F70-березень!F70</f>
        <v>11.400000000000006</v>
      </c>
      <c r="V70" s="98">
        <f>G70-березень!G70</f>
        <v>5.380000000000003</v>
      </c>
      <c r="W70" s="74">
        <f t="shared" si="23"/>
        <v>-6.020000000000003</v>
      </c>
      <c r="X70" s="75">
        <f t="shared" si="28"/>
        <v>0.4719298245614035</v>
      </c>
      <c r="Y70" s="197">
        <f t="shared" si="16"/>
        <v>0.2089388864099173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1943.42</v>
      </c>
      <c r="H72" s="102">
        <f t="shared" si="22"/>
        <v>-665.23</v>
      </c>
      <c r="I72" s="213">
        <f t="shared" si="20"/>
        <v>0.7449907040039867</v>
      </c>
      <c r="J72" s="115">
        <f t="shared" si="24"/>
        <v>-6226.58</v>
      </c>
      <c r="K72" s="155">
        <f t="shared" si="21"/>
        <v>0.23787270501835986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-1592.79</v>
      </c>
      <c r="T72" s="155">
        <f t="shared" si="27"/>
        <v>0.5495770895959233</v>
      </c>
      <c r="U72" s="107">
        <f>F72-березень!F72</f>
        <v>680</v>
      </c>
      <c r="V72" s="110">
        <f>G72-березень!G72</f>
        <v>444.72</v>
      </c>
      <c r="W72" s="111">
        <f t="shared" si="23"/>
        <v>-235.27999999999997</v>
      </c>
      <c r="X72" s="155">
        <f t="shared" si="28"/>
        <v>0.654</v>
      </c>
      <c r="Y72" s="197">
        <f t="shared" si="16"/>
        <v>-0.4606962901333185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432947.42</v>
      </c>
      <c r="H79" s="103">
        <f>G79-F79</f>
        <v>-69343.94</v>
      </c>
      <c r="I79" s="210">
        <f>G79/F79</f>
        <v>0.8619447883793979</v>
      </c>
      <c r="J79" s="104">
        <f>G79-E79</f>
        <v>-1194970.28</v>
      </c>
      <c r="K79" s="156">
        <f>G79/E79</f>
        <v>0.265951663281258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13185.669999999984</v>
      </c>
      <c r="T79" s="156">
        <f>G79/R79</f>
        <v>1.0314122713658402</v>
      </c>
      <c r="U79" s="103">
        <f>U8+U53+U77+U78</f>
        <v>130095.803</v>
      </c>
      <c r="V79" s="103">
        <f>V8+V53+V77+V78</f>
        <v>54326.64000000002</v>
      </c>
      <c r="W79" s="135">
        <f>V79-U79</f>
        <v>-75769.16299999997</v>
      </c>
      <c r="X79" s="156">
        <f>V79/U79</f>
        <v>0.41758948980083566</v>
      </c>
      <c r="Y79" s="197">
        <f t="shared" si="16"/>
        <v>-0.13222019415162078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806.34</v>
      </c>
      <c r="T88" s="147">
        <f t="shared" si="30"/>
        <v>6720.500000000001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6711.633477945723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1718.57</v>
      </c>
      <c r="H90" s="112">
        <f t="shared" si="31"/>
        <v>-6281.43</v>
      </c>
      <c r="I90" s="213">
        <f>G90/F90</f>
        <v>0.21482125</v>
      </c>
      <c r="J90" s="117">
        <f t="shared" si="35"/>
        <v>-20296.43</v>
      </c>
      <c r="K90" s="147">
        <f>G90/E90</f>
        <v>0.07806359300476948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-102.88000000000011</v>
      </c>
      <c r="T90" s="147">
        <f t="shared" si="30"/>
        <v>0.9435175272447774</v>
      </c>
      <c r="U90" s="112">
        <f>F90-березень!F90</f>
        <v>2000</v>
      </c>
      <c r="V90" s="118">
        <f>G90-березень!G90</f>
        <v>260.78</v>
      </c>
      <c r="W90" s="117">
        <f t="shared" si="34"/>
        <v>-1739.22</v>
      </c>
      <c r="X90" s="147">
        <f>V90/U90</f>
        <v>0.13038999999999998</v>
      </c>
      <c r="Y90" s="197">
        <f t="shared" si="16"/>
        <v>-0.3285934546873751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3918.8999999999996</v>
      </c>
      <c r="H92" s="129">
        <f t="shared" si="31"/>
        <v>-7910.529</v>
      </c>
      <c r="I92" s="216">
        <f>G92/F92</f>
        <v>0.33128395292790547</v>
      </c>
      <c r="J92" s="131">
        <f t="shared" si="35"/>
        <v>-42887.139</v>
      </c>
      <c r="K92" s="151">
        <f>G92/E92</f>
        <v>0.08372637556448644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1789.4199999999996</v>
      </c>
      <c r="T92" s="147">
        <f t="shared" si="30"/>
        <v>1.8403084321054903</v>
      </c>
      <c r="U92" s="129">
        <f>F92-березень!F92</f>
        <v>3002</v>
      </c>
      <c r="V92" s="174">
        <f>G92-березень!G92</f>
        <v>449.9399999999996</v>
      </c>
      <c r="W92" s="131">
        <f t="shared" si="34"/>
        <v>-2552.0600000000004</v>
      </c>
      <c r="X92" s="151">
        <f>V92/U92</f>
        <v>0.14988007994670208</v>
      </c>
      <c r="Y92" s="197">
        <f t="shared" si="16"/>
        <v>0.06786668603635726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2503.45</v>
      </c>
      <c r="H95" s="112">
        <f t="shared" si="31"/>
        <v>-330</v>
      </c>
      <c r="I95" s="213">
        <f>G95/F95</f>
        <v>0.8835342074149888</v>
      </c>
      <c r="J95" s="117">
        <f t="shared" si="35"/>
        <v>-6546.55</v>
      </c>
      <c r="K95" s="147">
        <f>G95/E95</f>
        <v>0.2766243093922652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271.90999999999985</v>
      </c>
      <c r="T95" s="147">
        <f t="shared" si="30"/>
        <v>1.1218485888668812</v>
      </c>
      <c r="U95" s="112">
        <f>F95-березень!F95</f>
        <v>13.699999999999818</v>
      </c>
      <c r="V95" s="118">
        <f>G95-березень!G95</f>
        <v>2.099999999999909</v>
      </c>
      <c r="W95" s="117">
        <f t="shared" si="34"/>
        <v>-11.599999999999909</v>
      </c>
      <c r="X95" s="147">
        <f>V95/U95</f>
        <v>0.15328467153284211</v>
      </c>
      <c r="Y95" s="197">
        <f t="shared" si="16"/>
        <v>-0.004622358140440319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2504.75</v>
      </c>
      <c r="H97" s="129">
        <f t="shared" si="31"/>
        <v>-339.6999999999998</v>
      </c>
      <c r="I97" s="216">
        <f>G97/F97</f>
        <v>0.8805744520030235</v>
      </c>
      <c r="J97" s="131">
        <f t="shared" si="35"/>
        <v>-6588.25</v>
      </c>
      <c r="K97" s="151">
        <f>G97/E97</f>
        <v>0.27545914439678876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263.92999999999984</v>
      </c>
      <c r="T97" s="147">
        <f t="shared" si="30"/>
        <v>1.1177827759480903</v>
      </c>
      <c r="U97" s="129">
        <f>F97-березень!F97</f>
        <v>17.699999999999818</v>
      </c>
      <c r="V97" s="174">
        <f>G97-лютий!G97</f>
        <v>126.49000000000024</v>
      </c>
      <c r="W97" s="131">
        <f t="shared" si="34"/>
        <v>108.79000000000042</v>
      </c>
      <c r="X97" s="151">
        <f>V97/U97</f>
        <v>7.146327683615906</v>
      </c>
      <c r="Y97" s="197">
        <f t="shared" si="16"/>
        <v>-0.007141604341423413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6437.16</v>
      </c>
      <c r="H100" s="184">
        <f>G100-F100</f>
        <v>-8250.709</v>
      </c>
      <c r="I100" s="217">
        <f>G100/F100</f>
        <v>0.43826371272783</v>
      </c>
      <c r="J100" s="177">
        <f>G100-E100</f>
        <v>-49509.292</v>
      </c>
      <c r="K100" s="178">
        <f>G100/E100</f>
        <v>0.11505930706740794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2023.6899999999996</v>
      </c>
      <c r="T100" s="178">
        <f t="shared" si="30"/>
        <v>1.4585258311487332</v>
      </c>
      <c r="U100" s="183">
        <f>U86+U87+U92+U97+U98</f>
        <v>3025.5647799999997</v>
      </c>
      <c r="V100" s="183">
        <f>V86+V87+V92+V97+V98</f>
        <v>577.0199999999999</v>
      </c>
      <c r="W100" s="177">
        <f>V100-U100</f>
        <v>-2448.5447799999997</v>
      </c>
      <c r="X100" s="178">
        <f>V100/U100</f>
        <v>0.19071480598078613</v>
      </c>
      <c r="Y100" s="197">
        <f>T100-Q100</f>
        <v>-0.16021221380671924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439384.57999999996</v>
      </c>
      <c r="H101" s="184">
        <f>G101-F101</f>
        <v>-77594.64900000003</v>
      </c>
      <c r="I101" s="217">
        <f>G101/F101</f>
        <v>0.8499076081836161</v>
      </c>
      <c r="J101" s="177">
        <f>G101-E101</f>
        <v>-1244479.5720000002</v>
      </c>
      <c r="K101" s="178">
        <f>G101/E101</f>
        <v>0.26093825887208505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15209.359999999982</v>
      </c>
      <c r="T101" s="178">
        <f t="shared" si="30"/>
        <v>1.0358563142844601</v>
      </c>
      <c r="U101" s="184">
        <f>U79+U100</f>
        <v>133121.36778</v>
      </c>
      <c r="V101" s="184">
        <f>V79+V100</f>
        <v>54903.66000000002</v>
      </c>
      <c r="W101" s="177">
        <f>V101-U101</f>
        <v>-78217.70777999998</v>
      </c>
      <c r="X101" s="178">
        <f>V101/U101</f>
        <v>0.4124331120961385</v>
      </c>
      <c r="Y101" s="197">
        <f>T101-Q101</f>
        <v>-0.13874832803969572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6934.394</v>
      </c>
      <c r="H104" s="263"/>
      <c r="I104" s="263"/>
      <c r="J104" s="263"/>
      <c r="V104" s="262">
        <f>IF(W79&lt;0,ABS(W79/C103),0)</f>
        <v>7576.916299999997</v>
      </c>
    </row>
    <row r="105" spans="2:7" ht="30.75">
      <c r="B105" s="264" t="s">
        <v>146</v>
      </c>
      <c r="C105" s="265">
        <v>43203</v>
      </c>
      <c r="D105" s="262"/>
      <c r="E105" s="262">
        <v>9610.8</v>
      </c>
      <c r="F105" s="78"/>
      <c r="G105" s="4" t="s">
        <v>147</v>
      </c>
    </row>
    <row r="106" spans="3:10" ht="15">
      <c r="C106" s="265">
        <v>43202</v>
      </c>
      <c r="D106" s="262"/>
      <c r="E106" s="262">
        <v>4732.5</v>
      </c>
      <c r="F106" s="78"/>
      <c r="G106" s="357"/>
      <c r="H106" s="357"/>
      <c r="I106" s="267"/>
      <c r="J106" s="268"/>
    </row>
    <row r="107" spans="3:10" ht="15">
      <c r="C107" s="265">
        <v>43201</v>
      </c>
      <c r="D107" s="262"/>
      <c r="E107" s="262">
        <v>3493.4</v>
      </c>
      <c r="F107" s="78"/>
      <c r="G107" s="357"/>
      <c r="H107" s="357"/>
      <c r="I107" s="267"/>
      <c r="J107" s="269"/>
    </row>
    <row r="108" spans="3:10" ht="15">
      <c r="C108" s="265"/>
      <c r="D108" s="4"/>
      <c r="F108" s="270"/>
      <c r="G108" s="358"/>
      <c r="H108" s="358"/>
      <c r="I108" s="271"/>
      <c r="J108" s="268"/>
    </row>
    <row r="109" spans="2:10" ht="16.5">
      <c r="B109" s="359" t="s">
        <v>148</v>
      </c>
      <c r="C109" s="360"/>
      <c r="D109" s="272"/>
      <c r="E109" s="324">
        <v>1.88</v>
      </c>
      <c r="F109" s="274" t="s">
        <v>149</v>
      </c>
      <c r="G109" s="357"/>
      <c r="H109" s="357"/>
      <c r="I109" s="275"/>
      <c r="J109" s="268"/>
    </row>
    <row r="110" spans="4:10" ht="15">
      <c r="D110" s="4"/>
      <c r="F110" s="270"/>
      <c r="G110" s="357"/>
      <c r="H110" s="357"/>
      <c r="I110" s="270"/>
      <c r="J110" s="273"/>
    </row>
    <row r="111" spans="2:10" ht="15" customHeight="1">
      <c r="B111" s="356"/>
      <c r="C111" s="356"/>
      <c r="D111" s="277"/>
      <c r="E111" s="278"/>
      <c r="F111" s="270"/>
      <c r="G111" s="357"/>
      <c r="H111" s="35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645</v>
      </c>
      <c r="G112" s="325">
        <f t="shared" si="36"/>
        <v>577.9399999999999</v>
      </c>
      <c r="H112" s="270">
        <f t="shared" si="36"/>
        <v>-67.06</v>
      </c>
      <c r="I112" s="326">
        <f>G112/F112</f>
        <v>0.8960310077519379</v>
      </c>
      <c r="J112" s="270">
        <f t="shared" si="36"/>
        <v>-1517.0600000000002</v>
      </c>
      <c r="K112" s="326">
        <f>G112/E112</f>
        <v>0.27586634844868735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580.2</v>
      </c>
      <c r="S112" s="270">
        <f t="shared" si="36"/>
        <v>-2.2600000000000353</v>
      </c>
      <c r="T112" s="326">
        <f>G112/R112</f>
        <v>0.9961047914512235</v>
      </c>
      <c r="U112" s="270">
        <f t="shared" si="36"/>
        <v>168</v>
      </c>
      <c r="V112" s="280">
        <f t="shared" si="36"/>
        <v>87.69000000000001</v>
      </c>
      <c r="W112" s="270">
        <f t="shared" si="36"/>
        <v>-80.30999999999999</v>
      </c>
      <c r="X112" s="326">
        <f>V112/U112</f>
        <v>0.5219642857142858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490787.87</v>
      </c>
      <c r="G114" s="281">
        <f>G9+G15+G18+G19+G23+G54+G57+G59+G71+G77+G93+G95</f>
        <v>420745.86999999994</v>
      </c>
      <c r="H114" s="262">
        <f>H9+H15+H18+H19+H23+H54+H57+H59+H71+H77+H93+H95</f>
        <v>-70042</v>
      </c>
      <c r="I114" s="163">
        <f>G114/F114</f>
        <v>0.8572866114233832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18389.719</v>
      </c>
      <c r="G115" s="281">
        <f>G55+G58+G60+G63+G64+G65+G72+G76+G88+G89+G90+G91+G98</f>
        <v>11209.6</v>
      </c>
      <c r="H115" s="262">
        <f>H55+H58+H60+H63+H64+H65+H72+H76+H88+H89+H90+H91+H98</f>
        <v>-7180.119</v>
      </c>
      <c r="I115" s="163">
        <f>G115/F115</f>
        <v>0.6095579818266935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7801.64</v>
      </c>
      <c r="G116" s="281">
        <f>G56+G62+G66+G78</f>
        <v>7429.099999999999</v>
      </c>
      <c r="H116" s="262">
        <f>H56+H62+H66+H78</f>
        <v>-372.5399999999997</v>
      </c>
      <c r="I116" s="163">
        <f>G116/F116</f>
        <v>0.9522485015971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516979.229</v>
      </c>
      <c r="G117" s="330">
        <f>G114+G115+G116</f>
        <v>439384.5699999999</v>
      </c>
      <c r="H117" s="329">
        <f>H114+H115+H116</f>
        <v>-77594.659</v>
      </c>
      <c r="I117" s="331">
        <f>G117/F117</f>
        <v>0.8499075888404791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-0.010000000067520887</v>
      </c>
      <c r="H118" s="262">
        <f>H117-H101</f>
        <v>-0.00999999996565748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34942.189</v>
      </c>
      <c r="G124" s="284">
        <f t="shared" si="38"/>
        <v>8589.419999999998</v>
      </c>
      <c r="H124" s="284">
        <f t="shared" si="38"/>
        <v>-26352.769</v>
      </c>
      <c r="I124" s="337">
        <f t="shared" si="37"/>
        <v>0.2458180281721903</v>
      </c>
      <c r="J124" s="284">
        <f t="shared" si="38"/>
        <v>-65459.092000000004</v>
      </c>
      <c r="K124" s="337">
        <f>G124/F124</f>
        <v>0.2458180281721903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537233.549</v>
      </c>
      <c r="G125" s="284">
        <f t="shared" si="39"/>
        <v>441536.83999999997</v>
      </c>
      <c r="H125" s="284">
        <f t="shared" si="39"/>
        <v>-95696.70900000003</v>
      </c>
      <c r="I125" s="337">
        <f t="shared" si="37"/>
        <v>0.8218713087108415</v>
      </c>
      <c r="J125" s="284">
        <f t="shared" si="39"/>
        <v>-1260429.3720000002</v>
      </c>
      <c r="K125" s="337">
        <f>G125/F125</f>
        <v>0.8218713087108415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859320.279</v>
      </c>
      <c r="G130" s="291">
        <f t="shared" si="40"/>
        <v>441536.83999999997</v>
      </c>
      <c r="H130" s="291">
        <f t="shared" si="40"/>
        <v>-417783.439</v>
      </c>
      <c r="I130" s="339">
        <f t="shared" si="37"/>
        <v>0.5138210406413556</v>
      </c>
      <c r="J130" s="291">
        <f t="shared" si="40"/>
        <v>-2760104.572</v>
      </c>
      <c r="K130" s="339">
        <f>G130/E130</f>
        <v>0.1379095230168768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42</v>
      </c>
      <c r="G140" s="300">
        <f t="shared" si="43"/>
        <v>51.82</v>
      </c>
      <c r="H140" s="300">
        <f t="shared" si="43"/>
        <v>9.82</v>
      </c>
      <c r="I140" s="332">
        <f t="shared" si="43"/>
        <v>1.233809523809524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82.8</v>
      </c>
      <c r="S140" s="300">
        <f t="shared" si="43"/>
        <v>-30.979999999999997</v>
      </c>
      <c r="T140" s="332">
        <f t="shared" si="43"/>
        <v>0.6258454106280193</v>
      </c>
      <c r="U140" s="300">
        <f t="shared" si="43"/>
        <v>14</v>
      </c>
      <c r="V140" s="300">
        <f t="shared" si="43"/>
        <v>0</v>
      </c>
      <c r="W140" s="300">
        <f t="shared" si="43"/>
        <v>-14</v>
      </c>
      <c r="X140" s="315">
        <f t="shared" si="43"/>
        <v>0</v>
      </c>
      <c r="Y140" s="336">
        <f t="shared" si="42"/>
        <v>-0.40481342824999755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5</v>
      </c>
      <c r="G141" s="304">
        <f t="shared" si="43"/>
        <v>2.02</v>
      </c>
      <c r="H141" s="304">
        <f t="shared" si="43"/>
        <v>-2.98</v>
      </c>
      <c r="I141" s="333">
        <f t="shared" si="43"/>
        <v>0.404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208.43</v>
      </c>
      <c r="G142" s="295">
        <f t="shared" si="43"/>
        <v>238.84</v>
      </c>
      <c r="H142" s="295">
        <f t="shared" si="43"/>
        <v>30.409999999999997</v>
      </c>
      <c r="I142" s="315">
        <f t="shared" si="43"/>
        <v>1.1459003022597514</v>
      </c>
      <c r="J142" s="295">
        <f t="shared" si="43"/>
        <v>-505.15999999999997</v>
      </c>
      <c r="K142" s="315">
        <f t="shared" si="43"/>
        <v>0.3210215053763441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394.48</v>
      </c>
      <c r="S142" s="295">
        <f t="shared" si="43"/>
        <v>-155.64000000000001</v>
      </c>
      <c r="T142" s="315">
        <f t="shared" si="43"/>
        <v>0.6054552829040762</v>
      </c>
      <c r="U142" s="295">
        <f t="shared" si="43"/>
        <v>60</v>
      </c>
      <c r="V142" s="295">
        <f t="shared" si="43"/>
        <v>14.25</v>
      </c>
      <c r="W142" s="295">
        <f t="shared" si="43"/>
        <v>-45.75</v>
      </c>
      <c r="X142" s="315">
        <f t="shared" si="43"/>
        <v>0.2375</v>
      </c>
      <c r="Y142" s="336">
        <f t="shared" si="42"/>
        <v>-0.4494000289446145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30</v>
      </c>
      <c r="G143" s="295">
        <f t="shared" si="43"/>
        <v>25.62</v>
      </c>
      <c r="H143" s="295">
        <f t="shared" si="43"/>
        <v>-4.379999999999999</v>
      </c>
      <c r="I143" s="315">
        <f t="shared" si="43"/>
        <v>0.854</v>
      </c>
      <c r="J143" s="295">
        <f t="shared" si="43"/>
        <v>-89.88</v>
      </c>
      <c r="K143" s="315">
        <f t="shared" si="43"/>
        <v>0.22181818181818183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1.01</v>
      </c>
      <c r="S143" s="295">
        <f t="shared" si="43"/>
        <v>24.61</v>
      </c>
      <c r="T143" s="315">
        <f t="shared" si="43"/>
        <v>25.366336633663366</v>
      </c>
      <c r="U143" s="295">
        <f t="shared" si="43"/>
        <v>10</v>
      </c>
      <c r="V143" s="295">
        <f t="shared" si="43"/>
        <v>17</v>
      </c>
      <c r="W143" s="295">
        <f t="shared" si="43"/>
        <v>7</v>
      </c>
      <c r="X143" s="315">
        <f t="shared" si="43"/>
        <v>1.7</v>
      </c>
      <c r="Y143" s="336">
        <f t="shared" si="42"/>
        <v>24.355837945999323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12.47</v>
      </c>
      <c r="G145" s="307">
        <f t="shared" si="45"/>
        <v>4.74</v>
      </c>
      <c r="H145" s="307">
        <f t="shared" si="45"/>
        <v>-7.73</v>
      </c>
      <c r="I145" s="334">
        <f t="shared" si="45"/>
        <v>0.38011226944667204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16.85</v>
      </c>
      <c r="S145" s="307">
        <f t="shared" si="45"/>
        <v>-12.110000000000001</v>
      </c>
      <c r="T145" s="334">
        <f t="shared" si="45"/>
        <v>0.2813056379821958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-0.7414880499196159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-5.25</v>
      </c>
      <c r="S146" s="307">
        <f t="shared" si="45"/>
        <v>5.7</v>
      </c>
      <c r="T146" s="334">
        <f t="shared" si="45"/>
        <v>-0.08571428571428572</v>
      </c>
      <c r="U146" s="307">
        <f t="shared" si="45"/>
        <v>0</v>
      </c>
      <c r="V146" s="307">
        <f t="shared" si="45"/>
        <v>0</v>
      </c>
      <c r="W146" s="307">
        <f t="shared" si="45"/>
        <v>0</v>
      </c>
      <c r="X146" s="334">
        <f t="shared" si="45"/>
        <v>0</v>
      </c>
      <c r="Y146" s="336">
        <f t="shared" si="42"/>
        <v>-0.08571428571428572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419.40000000000003</v>
      </c>
      <c r="G147" s="311">
        <f>SUM(G138:G146)</f>
        <v>517.73</v>
      </c>
      <c r="H147" s="311">
        <f>SUM(H138:H146)</f>
        <v>98.33</v>
      </c>
      <c r="I147" s="189">
        <f>G147/F147</f>
        <v>1.2344539818788745</v>
      </c>
      <c r="J147" s="311">
        <f>G147-E147</f>
        <v>-786.3699999999999</v>
      </c>
      <c r="K147" s="331">
        <f>G147/E147</f>
        <v>0.3970017636684304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612.42</v>
      </c>
      <c r="S147" s="311">
        <f>SUM(S138:S146)</f>
        <v>-94.69</v>
      </c>
      <c r="T147" s="189">
        <f>G147/R147</f>
        <v>0.8453838868750205</v>
      </c>
      <c r="U147" s="311">
        <f>SUM(U138:U146)</f>
        <v>87.9</v>
      </c>
      <c r="V147" s="311">
        <f>SUM(V138:V146)</f>
        <v>31.25</v>
      </c>
      <c r="W147" s="311">
        <f>SUM(W138:W146)</f>
        <v>-56.65</v>
      </c>
      <c r="X147" s="189">
        <f>V147/U147</f>
        <v>0.35551763367463024</v>
      </c>
      <c r="Y147" s="189">
        <f t="shared" si="42"/>
        <v>-0.2077194611554074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384</v>
      </c>
      <c r="G150" s="295">
        <f t="shared" si="46"/>
        <v>333.06</v>
      </c>
      <c r="H150" s="295">
        <f t="shared" si="46"/>
        <v>-50.94</v>
      </c>
      <c r="I150" s="315">
        <f t="shared" si="46"/>
        <v>0.86734375</v>
      </c>
      <c r="J150" s="295">
        <f t="shared" si="46"/>
        <v>-950.94</v>
      </c>
      <c r="K150" s="315">
        <f t="shared" si="46"/>
        <v>0.259392523364486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393.47</v>
      </c>
      <c r="S150" s="295">
        <f t="shared" si="46"/>
        <v>-60.410000000000025</v>
      </c>
      <c r="T150" s="315">
        <f t="shared" si="46"/>
        <v>0.8464685998932574</v>
      </c>
      <c r="U150" s="295">
        <f t="shared" si="46"/>
        <v>100</v>
      </c>
      <c r="V150" s="295">
        <f t="shared" si="46"/>
        <v>52.73000000000002</v>
      </c>
      <c r="W150" s="295">
        <f t="shared" si="46"/>
        <v>-47.26999999999998</v>
      </c>
      <c r="X150" s="315">
        <f t="shared" si="46"/>
        <v>0.5273000000000002</v>
      </c>
      <c r="Y150" s="336">
        <f t="shared" si="42"/>
        <v>-0.21896778094216407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7490</v>
      </c>
      <c r="G152" s="318">
        <f t="shared" si="46"/>
        <v>7196.89</v>
      </c>
      <c r="H152" s="318">
        <f t="shared" si="46"/>
        <v>-293.1099999999997</v>
      </c>
      <c r="I152" s="319">
        <f t="shared" si="46"/>
        <v>0.9608664886515355</v>
      </c>
      <c r="J152" s="318">
        <f t="shared" si="46"/>
        <v>-14063.11</v>
      </c>
      <c r="K152" s="319">
        <f t="shared" si="46"/>
        <v>0.33851787394167454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4681.51</v>
      </c>
      <c r="S152" s="318">
        <f t="shared" si="46"/>
        <v>2515.38</v>
      </c>
      <c r="T152" s="319">
        <f t="shared" si="46"/>
        <v>1.5373009990366355</v>
      </c>
      <c r="U152" s="318">
        <f t="shared" si="46"/>
        <v>1800</v>
      </c>
      <c r="V152" s="318">
        <f t="shared" si="46"/>
        <v>994.9500000000007</v>
      </c>
      <c r="W152" s="318">
        <f t="shared" si="46"/>
        <v>-805.0499999999993</v>
      </c>
      <c r="X152" s="319">
        <f t="shared" si="46"/>
        <v>0.5527500000000004</v>
      </c>
      <c r="Y152" s="336">
        <f t="shared" si="42"/>
        <v>0.48012287894398575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249</v>
      </c>
      <c r="G153" s="318">
        <f t="shared" si="46"/>
        <v>231.82</v>
      </c>
      <c r="H153" s="318">
        <f t="shared" si="46"/>
        <v>-17.180000000000007</v>
      </c>
      <c r="I153" s="319">
        <f t="shared" si="46"/>
        <v>0.931004016064257</v>
      </c>
      <c r="J153" s="318">
        <f t="shared" si="46"/>
        <v>-535.1800000000001</v>
      </c>
      <c r="K153" s="319">
        <f t="shared" si="46"/>
        <v>0.3022425032594524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175.37</v>
      </c>
      <c r="S153" s="318">
        <f t="shared" si="46"/>
        <v>56.44999999999999</v>
      </c>
      <c r="T153" s="319">
        <f t="shared" si="46"/>
        <v>1.3218908593259964</v>
      </c>
      <c r="U153" s="318">
        <f t="shared" si="46"/>
        <v>64</v>
      </c>
      <c r="V153" s="318">
        <f t="shared" si="46"/>
        <v>29.659999999999997</v>
      </c>
      <c r="W153" s="318">
        <f t="shared" si="46"/>
        <v>-34.34</v>
      </c>
      <c r="X153" s="319">
        <f t="shared" si="46"/>
        <v>0.46343749999999995</v>
      </c>
      <c r="Y153" s="336">
        <f t="shared" si="42"/>
        <v>0.24167002669684856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12</v>
      </c>
      <c r="G154" s="318">
        <f t="shared" si="46"/>
        <v>13.06</v>
      </c>
      <c r="H154" s="318">
        <f t="shared" si="46"/>
        <v>1.0600000000000005</v>
      </c>
      <c r="I154" s="319">
        <f t="shared" si="46"/>
        <v>1.0883333333333334</v>
      </c>
      <c r="J154" s="318">
        <f t="shared" si="46"/>
        <v>-30.939999999999998</v>
      </c>
      <c r="K154" s="319">
        <f t="shared" si="46"/>
        <v>0.2968181818181818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11.36</v>
      </c>
      <c r="S154" s="318">
        <f t="shared" si="46"/>
        <v>1.700000000000001</v>
      </c>
      <c r="T154" s="319">
        <f t="shared" si="46"/>
        <v>1.1496478873239437</v>
      </c>
      <c r="U154" s="318">
        <f t="shared" si="46"/>
        <v>4</v>
      </c>
      <c r="V154" s="318">
        <f t="shared" si="46"/>
        <v>5.300000000000001</v>
      </c>
      <c r="W154" s="318">
        <f t="shared" si="46"/>
        <v>1.3000000000000007</v>
      </c>
      <c r="X154" s="319">
        <f t="shared" si="46"/>
        <v>1.3250000000000002</v>
      </c>
      <c r="Y154" s="336">
        <f t="shared" si="42"/>
        <v>0.08787182554788187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8135</v>
      </c>
      <c r="G155" s="311">
        <f t="shared" si="47"/>
        <v>7774.830000000001</v>
      </c>
      <c r="H155" s="311">
        <f t="shared" si="47"/>
        <v>-360.1699999999997</v>
      </c>
      <c r="I155" s="189">
        <f>G155/F155</f>
        <v>0.9557258758451138</v>
      </c>
      <c r="J155" s="311">
        <f t="shared" si="47"/>
        <v>-15580.170000000002</v>
      </c>
      <c r="K155" s="189">
        <f>G155/E155</f>
        <v>0.3328978805394991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5261.71</v>
      </c>
      <c r="S155" s="311">
        <f t="shared" si="47"/>
        <v>2513.12</v>
      </c>
      <c r="T155" s="189">
        <f>G155/R155</f>
        <v>1.4776241944158839</v>
      </c>
      <c r="U155" s="311">
        <f t="shared" si="47"/>
        <v>1968</v>
      </c>
      <c r="V155" s="311">
        <f t="shared" si="47"/>
        <v>1082.6400000000008</v>
      </c>
      <c r="W155" s="311">
        <f t="shared" si="47"/>
        <v>-885.3599999999993</v>
      </c>
      <c r="X155" s="189">
        <f>V155/U155</f>
        <v>0.5501219512195126</v>
      </c>
      <c r="Y155" s="189">
        <f t="shared" si="42"/>
        <v>0.4203651639163035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2608.65</v>
      </c>
      <c r="G159" s="310">
        <f t="shared" si="48"/>
        <v>1943.42</v>
      </c>
      <c r="H159" s="310">
        <f t="shared" si="48"/>
        <v>-665.23</v>
      </c>
      <c r="I159" s="309">
        <f t="shared" si="48"/>
        <v>0.7449907040039867</v>
      </c>
      <c r="J159" s="310">
        <f t="shared" si="48"/>
        <v>-6226.58</v>
      </c>
      <c r="K159" s="309">
        <f t="shared" si="48"/>
        <v>0.23787270501835986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3536.21</v>
      </c>
      <c r="S159" s="310">
        <f t="shared" si="48"/>
        <v>-1592.79</v>
      </c>
      <c r="T159" s="309">
        <f t="shared" si="48"/>
        <v>0.5495770895959233</v>
      </c>
      <c r="U159" s="310">
        <f t="shared" si="48"/>
        <v>680</v>
      </c>
      <c r="V159" s="310">
        <f t="shared" si="48"/>
        <v>444.72</v>
      </c>
      <c r="W159" s="310">
        <f t="shared" si="48"/>
        <v>-235.27999999999997</v>
      </c>
      <c r="X159" s="309">
        <f t="shared" si="48"/>
        <v>0.654</v>
      </c>
      <c r="Y159" s="189">
        <f t="shared" si="42"/>
        <v>-0.4606962901333185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20</v>
      </c>
      <c r="G160" s="310">
        <f t="shared" si="49"/>
        <v>0</v>
      </c>
      <c r="H160" s="310">
        <f t="shared" si="49"/>
        <v>-20</v>
      </c>
      <c r="I160" s="309">
        <f t="shared" si="49"/>
        <v>0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54.64</v>
      </c>
      <c r="S160" s="310">
        <f t="shared" si="49"/>
        <v>-54.64</v>
      </c>
      <c r="T160" s="309">
        <f t="shared" si="49"/>
        <v>0</v>
      </c>
      <c r="U160" s="310">
        <f t="shared" si="49"/>
        <v>20</v>
      </c>
      <c r="V160" s="310">
        <f t="shared" si="49"/>
        <v>0</v>
      </c>
      <c r="W160" s="310">
        <f t="shared" si="49"/>
        <v>-20</v>
      </c>
      <c r="X160" s="309">
        <f t="shared" si="49"/>
        <v>0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2628.65</v>
      </c>
      <c r="G161" s="311">
        <f t="shared" si="50"/>
        <v>1943.42</v>
      </c>
      <c r="H161" s="311">
        <f t="shared" si="50"/>
        <v>-685.23</v>
      </c>
      <c r="I161" s="189">
        <f>G161/F161</f>
        <v>0.7393224659045518</v>
      </c>
      <c r="J161" s="311">
        <f t="shared" si="50"/>
        <v>-6400.98</v>
      </c>
      <c r="K161" s="189">
        <f>G161/E161</f>
        <v>0.23290110732946648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3590.85</v>
      </c>
      <c r="S161" s="311">
        <f t="shared" si="50"/>
        <v>-1647.43</v>
      </c>
      <c r="T161" s="189">
        <f>G161/R161</f>
        <v>0.5412144756812454</v>
      </c>
      <c r="U161" s="311">
        <f t="shared" si="50"/>
        <v>700</v>
      </c>
      <c r="V161" s="311">
        <f t="shared" si="50"/>
        <v>444.72</v>
      </c>
      <c r="W161" s="311">
        <f t="shared" si="50"/>
        <v>-255.27999999999997</v>
      </c>
      <c r="X161" s="189">
        <f>V161/U161</f>
        <v>0.6353142857142857</v>
      </c>
      <c r="Y161" s="189">
        <f t="shared" si="42"/>
        <v>-0.4727967770681438</v>
      </c>
    </row>
    <row r="162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6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C66" sqref="AC6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79" t="s">
        <v>180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186"/>
    </row>
    <row r="2" spans="2:25" s="1" customFormat="1" ht="15.75" customHeight="1">
      <c r="B2" s="380"/>
      <c r="C2" s="380"/>
      <c r="D2" s="380"/>
      <c r="E2" s="380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81"/>
      <c r="B3" s="383"/>
      <c r="C3" s="384" t="s">
        <v>0</v>
      </c>
      <c r="D3" s="385" t="s">
        <v>131</v>
      </c>
      <c r="E3" s="385" t="s">
        <v>179</v>
      </c>
      <c r="F3" s="25"/>
      <c r="G3" s="386" t="s">
        <v>26</v>
      </c>
      <c r="H3" s="387"/>
      <c r="I3" s="387"/>
      <c r="J3" s="387"/>
      <c r="K3" s="38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89" t="s">
        <v>177</v>
      </c>
      <c r="V3" s="390" t="s">
        <v>178</v>
      </c>
      <c r="W3" s="390"/>
      <c r="X3" s="390"/>
      <c r="Y3" s="194"/>
    </row>
    <row r="4" spans="1:24" ht="22.5" customHeight="1">
      <c r="A4" s="381"/>
      <c r="B4" s="383"/>
      <c r="C4" s="384"/>
      <c r="D4" s="385"/>
      <c r="E4" s="385"/>
      <c r="F4" s="373" t="s">
        <v>173</v>
      </c>
      <c r="G4" s="375" t="s">
        <v>31</v>
      </c>
      <c r="H4" s="363" t="s">
        <v>174</v>
      </c>
      <c r="I4" s="377" t="s">
        <v>175</v>
      </c>
      <c r="J4" s="363" t="s">
        <v>132</v>
      </c>
      <c r="K4" s="37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77"/>
      <c r="V4" s="361" t="s">
        <v>181</v>
      </c>
      <c r="W4" s="363" t="s">
        <v>44</v>
      </c>
      <c r="X4" s="365" t="s">
        <v>43</v>
      </c>
    </row>
    <row r="5" spans="1:24" ht="67.5" customHeight="1">
      <c r="A5" s="382"/>
      <c r="B5" s="383"/>
      <c r="C5" s="384"/>
      <c r="D5" s="385"/>
      <c r="E5" s="385"/>
      <c r="F5" s="374"/>
      <c r="G5" s="376"/>
      <c r="H5" s="364"/>
      <c r="I5" s="378"/>
      <c r="J5" s="364"/>
      <c r="K5" s="378"/>
      <c r="L5" s="366" t="s">
        <v>135</v>
      </c>
      <c r="M5" s="367"/>
      <c r="N5" s="368"/>
      <c r="O5" s="369" t="s">
        <v>168</v>
      </c>
      <c r="P5" s="370"/>
      <c r="Q5" s="371"/>
      <c r="R5" s="372" t="s">
        <v>176</v>
      </c>
      <c r="S5" s="372"/>
      <c r="T5" s="372"/>
      <c r="U5" s="378"/>
      <c r="V5" s="362"/>
      <c r="W5" s="364"/>
      <c r="X5" s="36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4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4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4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4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4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4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4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4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4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4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5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4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4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57"/>
      <c r="H106" s="357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57"/>
      <c r="H107" s="357"/>
      <c r="I107" s="267"/>
      <c r="J107" s="269"/>
    </row>
    <row r="108" spans="3:10" ht="15">
      <c r="C108" s="265"/>
      <c r="D108" s="4"/>
      <c r="F108" s="270"/>
      <c r="G108" s="358"/>
      <c r="H108" s="358"/>
      <c r="I108" s="271"/>
      <c r="J108" s="268"/>
    </row>
    <row r="109" spans="2:10" ht="16.5">
      <c r="B109" s="359" t="s">
        <v>148</v>
      </c>
      <c r="C109" s="360"/>
      <c r="D109" s="272"/>
      <c r="E109" s="324">
        <f>'[1]залишки'!$G$6/1000</f>
        <v>1.88</v>
      </c>
      <c r="F109" s="274" t="s">
        <v>149</v>
      </c>
      <c r="G109" s="357"/>
      <c r="H109" s="357"/>
      <c r="I109" s="275"/>
      <c r="J109" s="268"/>
    </row>
    <row r="110" spans="4:10" ht="15">
      <c r="D110" s="4"/>
      <c r="F110" s="270"/>
      <c r="G110" s="357"/>
      <c r="H110" s="357"/>
      <c r="I110" s="270"/>
      <c r="J110" s="273"/>
    </row>
    <row r="111" spans="2:10" ht="15" customHeight="1" hidden="1">
      <c r="B111" s="356"/>
      <c r="C111" s="356"/>
      <c r="D111" s="277"/>
      <c r="E111" s="278"/>
      <c r="F111" s="270"/>
      <c r="G111" s="357"/>
      <c r="H111" s="35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477</v>
      </c>
      <c r="G112" s="325">
        <f t="shared" si="36"/>
        <v>490.25</v>
      </c>
      <c r="H112" s="270">
        <f t="shared" si="36"/>
        <v>13.24999999999998</v>
      </c>
      <c r="I112" s="326">
        <f>G112/F112</f>
        <v>1.0277777777777777</v>
      </c>
      <c r="J112" s="270">
        <f t="shared" si="36"/>
        <v>-1604.7500000000002</v>
      </c>
      <c r="K112" s="326">
        <f>G112/E112</f>
        <v>0.23400954653937947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440.15</v>
      </c>
      <c r="S112" s="270">
        <f t="shared" si="36"/>
        <v>50.1</v>
      </c>
      <c r="T112" s="326">
        <f>G112/R112</f>
        <v>1.1138248324434852</v>
      </c>
      <c r="U112" s="270">
        <f t="shared" si="36"/>
        <v>168</v>
      </c>
      <c r="V112" s="280">
        <f t="shared" si="36"/>
        <v>184.67</v>
      </c>
      <c r="W112" s="270">
        <f t="shared" si="36"/>
        <v>16.669999999999984</v>
      </c>
      <c r="X112" s="326">
        <f>V112/U112</f>
        <v>1.0992261904761904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364410.869</v>
      </c>
      <c r="G114" s="281">
        <f>G9+G15+G18+G19+G23+G54+G57+G59+G71+G77+G93+G95</f>
        <v>369694.9799999999</v>
      </c>
      <c r="H114" s="262">
        <f>H9+H15+H18+H19+H23+H54+H57+H59+H71+H77+H93+H95</f>
        <v>5284.1109999999935</v>
      </c>
      <c r="I114" s="163">
        <f>G114/F114</f>
        <v>1.0145004209520434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13533.85222</v>
      </c>
      <c r="G115" s="281">
        <f>G55+G58+G60+G63+G64+G65+G72+G76+G88+G89+G90+G91+G98</f>
        <v>8495.75</v>
      </c>
      <c r="H115" s="262">
        <f>H55+H58+H60+H63+H64+H65+H72+H76+H88+H89+H90+H91+H98</f>
        <v>-5038.102220000001</v>
      </c>
      <c r="I115" s="163">
        <f>G115/F115</f>
        <v>0.627740709880457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5913.14</v>
      </c>
      <c r="G116" s="281">
        <f>G56+G62+G66+G78</f>
        <v>6414.509999999999</v>
      </c>
      <c r="H116" s="262">
        <f>H56+H62+H66+H78</f>
        <v>501.36999999999966</v>
      </c>
      <c r="I116" s="163">
        <f>G116/F116</f>
        <v>1.0847891306480142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383857.86122</v>
      </c>
      <c r="G117" s="330">
        <f>G114+G115+G116</f>
        <v>384605.23999999993</v>
      </c>
      <c r="H117" s="329">
        <f>H114+H115+H116</f>
        <v>747.3787799999925</v>
      </c>
      <c r="I117" s="331">
        <f>G117/F117</f>
        <v>1.0019470196015383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-0.010000000009313226</v>
      </c>
      <c r="H118" s="262">
        <f>H117-H101</f>
        <v>-0.009999999928595571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31916.624219999998</v>
      </c>
      <c r="G124" s="284">
        <f t="shared" si="38"/>
        <v>8136.729999999998</v>
      </c>
      <c r="H124" s="284">
        <f t="shared" si="38"/>
        <v>-23779.894220000002</v>
      </c>
      <c r="I124" s="337">
        <f t="shared" si="37"/>
        <v>0.25493704922907406</v>
      </c>
      <c r="J124" s="284">
        <f t="shared" si="38"/>
        <v>-65911.782</v>
      </c>
      <c r="K124" s="337">
        <f>G124/F124</f>
        <v>0.25493704922907406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404112.18122</v>
      </c>
      <c r="G125" s="284">
        <f t="shared" si="39"/>
        <v>386757.50999999995</v>
      </c>
      <c r="H125" s="284">
        <f t="shared" si="39"/>
        <v>-17354.67122000008</v>
      </c>
      <c r="I125" s="337">
        <f t="shared" si="37"/>
        <v>0.9570548178785233</v>
      </c>
      <c r="J125" s="284">
        <f t="shared" si="39"/>
        <v>-1315208.702</v>
      </c>
      <c r="K125" s="337">
        <f>G125/F125</f>
        <v>0.9570548178785233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726198.91122</v>
      </c>
      <c r="G130" s="291">
        <f t="shared" si="40"/>
        <v>386757.50999999995</v>
      </c>
      <c r="H130" s="291">
        <f t="shared" si="40"/>
        <v>-339441.40122000006</v>
      </c>
      <c r="I130" s="339">
        <f t="shared" si="37"/>
        <v>0.532577925998615</v>
      </c>
      <c r="J130" s="291">
        <f t="shared" si="40"/>
        <v>-2814883.902</v>
      </c>
      <c r="K130" s="33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28</v>
      </c>
      <c r="G140" s="300">
        <f t="shared" si="43"/>
        <v>51.82</v>
      </c>
      <c r="H140" s="300">
        <f t="shared" si="43"/>
        <v>23.82</v>
      </c>
      <c r="I140" s="332">
        <f t="shared" si="43"/>
        <v>1.8507142857142858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72.08</v>
      </c>
      <c r="S140" s="300">
        <f t="shared" si="43"/>
        <v>-20.259999999999998</v>
      </c>
      <c r="T140" s="332">
        <f t="shared" si="43"/>
        <v>0.7189234184239733</v>
      </c>
      <c r="U140" s="300">
        <f t="shared" si="43"/>
        <v>14</v>
      </c>
      <c r="V140" s="300">
        <f t="shared" si="43"/>
        <v>38.59</v>
      </c>
      <c r="W140" s="300">
        <f t="shared" si="43"/>
        <v>24.590000000000003</v>
      </c>
      <c r="X140" s="315">
        <f t="shared" si="43"/>
        <v>2.7564285714285717</v>
      </c>
      <c r="Y140" s="336">
        <f t="shared" si="42"/>
        <v>-0.31173542045404357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4</v>
      </c>
      <c r="G141" s="304">
        <f t="shared" si="43"/>
        <v>2.02</v>
      </c>
      <c r="H141" s="304">
        <f t="shared" si="43"/>
        <v>-1.98</v>
      </c>
      <c r="I141" s="333">
        <f t="shared" si="43"/>
        <v>0.505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148.43</v>
      </c>
      <c r="G142" s="295">
        <f t="shared" si="43"/>
        <v>224.59</v>
      </c>
      <c r="H142" s="295">
        <f t="shared" si="43"/>
        <v>76.16</v>
      </c>
      <c r="I142" s="315">
        <f t="shared" si="43"/>
        <v>1.5131038199824833</v>
      </c>
      <c r="J142" s="295">
        <f t="shared" si="43"/>
        <v>-519.41</v>
      </c>
      <c r="K142" s="315">
        <f t="shared" si="43"/>
        <v>0.3018682795698925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277.76</v>
      </c>
      <c r="S142" s="295">
        <f t="shared" si="43"/>
        <v>-53.16999999999999</v>
      </c>
      <c r="T142" s="315">
        <f t="shared" si="43"/>
        <v>0.8085757488479263</v>
      </c>
      <c r="U142" s="295">
        <f t="shared" si="43"/>
        <v>60</v>
      </c>
      <c r="V142" s="295">
        <f t="shared" si="43"/>
        <v>172.41</v>
      </c>
      <c r="W142" s="295">
        <f t="shared" si="43"/>
        <v>112.41</v>
      </c>
      <c r="X142" s="315">
        <f t="shared" si="43"/>
        <v>2.8735</v>
      </c>
      <c r="Y142" s="336">
        <f t="shared" si="42"/>
        <v>-0.24627956300076448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20</v>
      </c>
      <c r="G143" s="295">
        <f t="shared" si="43"/>
        <v>8.62</v>
      </c>
      <c r="H143" s="295">
        <f t="shared" si="43"/>
        <v>-11.38</v>
      </c>
      <c r="I143" s="315">
        <f t="shared" si="43"/>
        <v>0.43099999999999994</v>
      </c>
      <c r="J143" s="295">
        <f t="shared" si="43"/>
        <v>-106.88</v>
      </c>
      <c r="K143" s="315">
        <f t="shared" si="43"/>
        <v>0.07463203463203462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0.51</v>
      </c>
      <c r="S143" s="295">
        <f t="shared" si="43"/>
        <v>8.11</v>
      </c>
      <c r="T143" s="315">
        <f t="shared" si="43"/>
        <v>16.901960784313722</v>
      </c>
      <c r="U143" s="295">
        <f t="shared" si="43"/>
        <v>10</v>
      </c>
      <c r="V143" s="295">
        <f t="shared" si="43"/>
        <v>20.2</v>
      </c>
      <c r="W143" s="295">
        <f t="shared" si="43"/>
        <v>10.2</v>
      </c>
      <c r="X143" s="315">
        <f t="shared" si="43"/>
        <v>2.02</v>
      </c>
      <c r="Y143" s="336">
        <f t="shared" si="42"/>
        <v>15.891462096649681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9.57</v>
      </c>
      <c r="G145" s="307">
        <f t="shared" si="45"/>
        <v>4.74</v>
      </c>
      <c r="H145" s="307">
        <f t="shared" si="45"/>
        <v>-4.83</v>
      </c>
      <c r="I145" s="334">
        <f t="shared" si="45"/>
        <v>0.49529780564263326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14.27</v>
      </c>
      <c r="S145" s="307">
        <f t="shared" si="45"/>
        <v>-9.53</v>
      </c>
      <c r="T145" s="334">
        <f t="shared" si="45"/>
        <v>0.33216538192011213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-0.6906283059816997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-5.33</v>
      </c>
      <c r="S146" s="307">
        <f t="shared" si="45"/>
        <v>5.78</v>
      </c>
      <c r="T146" s="334">
        <f t="shared" si="45"/>
        <v>-0.08442776735459663</v>
      </c>
      <c r="U146" s="307">
        <f t="shared" si="45"/>
        <v>0</v>
      </c>
      <c r="V146" s="307" t="str">
        <f t="shared" si="45"/>
        <v>ж</v>
      </c>
      <c r="W146" s="307" t="e">
        <f t="shared" si="45"/>
        <v>#VALUE!</v>
      </c>
      <c r="X146" s="334">
        <f t="shared" si="45"/>
        <v>0</v>
      </c>
      <c r="Y146" s="336">
        <f t="shared" si="42"/>
        <v>-0.08442776735459663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331.5</v>
      </c>
      <c r="G147" s="311">
        <f>SUM(G138:G146)</f>
        <v>486.48</v>
      </c>
      <c r="H147" s="311">
        <f>SUM(H138:H146)</f>
        <v>154.98</v>
      </c>
      <c r="I147" s="189">
        <f>G147/F147</f>
        <v>1.4675113122171946</v>
      </c>
      <c r="J147" s="311">
        <f>G147-E147</f>
        <v>-817.6199999999999</v>
      </c>
      <c r="K147" s="331">
        <f>G147/E147</f>
        <v>0.3730388773867035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481.82</v>
      </c>
      <c r="S147" s="311">
        <f>SUM(S138:S146)</f>
        <v>4.660000000000033</v>
      </c>
      <c r="T147" s="189">
        <f>G147/R147</f>
        <v>1.0096716616163712</v>
      </c>
      <c r="U147" s="311">
        <f>SUM(U138:U146)</f>
        <v>87.9</v>
      </c>
      <c r="V147" s="311">
        <f>SUM(V138:V146)</f>
        <v>231.2</v>
      </c>
      <c r="W147" s="31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284</v>
      </c>
      <c r="G150" s="295">
        <f t="shared" si="46"/>
        <v>280.33</v>
      </c>
      <c r="H150" s="295">
        <f t="shared" si="46"/>
        <v>-3.670000000000016</v>
      </c>
      <c r="I150" s="315">
        <f t="shared" si="46"/>
        <v>0.9870774647887324</v>
      </c>
      <c r="J150" s="295">
        <f t="shared" si="46"/>
        <v>-1003.6700000000001</v>
      </c>
      <c r="K150" s="315">
        <f t="shared" si="46"/>
        <v>0.21832554517133956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300.95</v>
      </c>
      <c r="S150" s="295">
        <f t="shared" si="46"/>
        <v>-20.620000000000005</v>
      </c>
      <c r="T150" s="315">
        <f t="shared" si="46"/>
        <v>0.9314836351553414</v>
      </c>
      <c r="U150" s="295">
        <f t="shared" si="46"/>
        <v>100</v>
      </c>
      <c r="V150" s="295">
        <f t="shared" si="46"/>
        <v>103.13999999999999</v>
      </c>
      <c r="W150" s="295">
        <f t="shared" si="46"/>
        <v>3.1399999999999864</v>
      </c>
      <c r="X150" s="315">
        <f t="shared" si="46"/>
        <v>1.0313999999999999</v>
      </c>
      <c r="Y150" s="336">
        <f t="shared" si="42"/>
        <v>-0.1339527456800801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5690</v>
      </c>
      <c r="G152" s="318">
        <f t="shared" si="46"/>
        <v>6201.94</v>
      </c>
      <c r="H152" s="318">
        <f t="shared" si="46"/>
        <v>511.9399999999996</v>
      </c>
      <c r="I152" s="319">
        <f t="shared" si="46"/>
        <v>1.0899718804920913</v>
      </c>
      <c r="J152" s="318">
        <f t="shared" si="46"/>
        <v>-15058.060000000001</v>
      </c>
      <c r="K152" s="319">
        <f t="shared" si="46"/>
        <v>0.2917187206020696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3584.94</v>
      </c>
      <c r="S152" s="318">
        <f t="shared" si="46"/>
        <v>2616.9999999999995</v>
      </c>
      <c r="T152" s="319">
        <f t="shared" si="46"/>
        <v>1.729998270542882</v>
      </c>
      <c r="U152" s="318">
        <f t="shared" si="46"/>
        <v>1800</v>
      </c>
      <c r="V152" s="318">
        <f t="shared" si="46"/>
        <v>2246.5199999999995</v>
      </c>
      <c r="W152" s="318">
        <f t="shared" si="46"/>
        <v>446.5199999999995</v>
      </c>
      <c r="X152" s="319">
        <f t="shared" si="46"/>
        <v>1.2480666666666664</v>
      </c>
      <c r="Y152" s="336">
        <f t="shared" si="42"/>
        <v>0.6728201504502322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185</v>
      </c>
      <c r="G153" s="318">
        <f t="shared" si="46"/>
        <v>202.16</v>
      </c>
      <c r="H153" s="318">
        <f t="shared" si="46"/>
        <v>17.159999999999997</v>
      </c>
      <c r="I153" s="319">
        <f t="shared" si="46"/>
        <v>1.0927567567567567</v>
      </c>
      <c r="J153" s="318">
        <f t="shared" si="46"/>
        <v>-564.84</v>
      </c>
      <c r="K153" s="319">
        <f t="shared" si="46"/>
        <v>0.26357235984354627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135.2</v>
      </c>
      <c r="S153" s="318">
        <f t="shared" si="46"/>
        <v>66.96000000000001</v>
      </c>
      <c r="T153" s="319">
        <f t="shared" si="46"/>
        <v>1.4952662721893493</v>
      </c>
      <c r="U153" s="318">
        <f t="shared" si="46"/>
        <v>64</v>
      </c>
      <c r="V153" s="318">
        <f t="shared" si="46"/>
        <v>80.47</v>
      </c>
      <c r="W153" s="318">
        <f t="shared" si="46"/>
        <v>16.47</v>
      </c>
      <c r="X153" s="319">
        <f t="shared" si="46"/>
        <v>1.25734375</v>
      </c>
      <c r="Y153" s="336">
        <f t="shared" si="42"/>
        <v>0.41504543956020146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8</v>
      </c>
      <c r="G154" s="318">
        <f t="shared" si="46"/>
        <v>7.76</v>
      </c>
      <c r="H154" s="318">
        <f t="shared" si="46"/>
        <v>-0.2400000000000002</v>
      </c>
      <c r="I154" s="319">
        <f t="shared" si="46"/>
        <v>0.97</v>
      </c>
      <c r="J154" s="318">
        <f t="shared" si="46"/>
        <v>-36.24</v>
      </c>
      <c r="K154" s="319">
        <f t="shared" si="46"/>
        <v>0.17636363636363636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4</v>
      </c>
      <c r="S154" s="318">
        <f t="shared" si="46"/>
        <v>3.76</v>
      </c>
      <c r="T154" s="319">
        <f t="shared" si="46"/>
        <v>1.94</v>
      </c>
      <c r="U154" s="318">
        <f t="shared" si="46"/>
        <v>4</v>
      </c>
      <c r="V154" s="318">
        <f t="shared" si="46"/>
        <v>1.0599999999999996</v>
      </c>
      <c r="W154" s="318">
        <f t="shared" si="46"/>
        <v>-2.9400000000000004</v>
      </c>
      <c r="X154" s="319">
        <f t="shared" si="46"/>
        <v>0.2649999999999999</v>
      </c>
      <c r="Y154" s="336">
        <f t="shared" si="42"/>
        <v>0.8782239382239381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6167</v>
      </c>
      <c r="G155" s="311">
        <f t="shared" si="47"/>
        <v>6692.19</v>
      </c>
      <c r="H155" s="311">
        <f t="shared" si="47"/>
        <v>525.1899999999996</v>
      </c>
      <c r="I155" s="189">
        <f>G155/F155</f>
        <v>1.085161342630128</v>
      </c>
      <c r="J155" s="311">
        <f t="shared" si="47"/>
        <v>-16662.81</v>
      </c>
      <c r="K155" s="189">
        <f>G155/E155</f>
        <v>0.28654206807964033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4025.0899999999997</v>
      </c>
      <c r="S155" s="311">
        <f t="shared" si="47"/>
        <v>2667.1</v>
      </c>
      <c r="T155" s="189">
        <f>G155/R155</f>
        <v>1.6626187240533752</v>
      </c>
      <c r="U155" s="311">
        <f t="shared" si="47"/>
        <v>1968</v>
      </c>
      <c r="V155" s="311">
        <f t="shared" si="47"/>
        <v>2431.189999999999</v>
      </c>
      <c r="W155" s="31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1928.65</v>
      </c>
      <c r="G159" s="310">
        <f t="shared" si="48"/>
        <v>1498.7</v>
      </c>
      <c r="H159" s="310">
        <f t="shared" si="48"/>
        <v>-429.95000000000005</v>
      </c>
      <c r="I159" s="309">
        <f t="shared" si="48"/>
        <v>0.7770720452129728</v>
      </c>
      <c r="J159" s="310">
        <f t="shared" si="48"/>
        <v>-6671.3</v>
      </c>
      <c r="K159" s="309">
        <f t="shared" si="48"/>
        <v>0.18343941248470014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3075.73</v>
      </c>
      <c r="S159" s="310">
        <f t="shared" si="48"/>
        <v>-1577.03</v>
      </c>
      <c r="T159" s="309">
        <f t="shared" si="48"/>
        <v>0.48726643756116433</v>
      </c>
      <c r="U159" s="310">
        <f t="shared" si="48"/>
        <v>680</v>
      </c>
      <c r="V159" s="310">
        <f t="shared" si="48"/>
        <v>426.54999999999995</v>
      </c>
      <c r="W159" s="310">
        <f t="shared" si="48"/>
        <v>-253.45000000000005</v>
      </c>
      <c r="X159" s="309">
        <f t="shared" si="48"/>
        <v>0.6272794117647058</v>
      </c>
      <c r="Y159" s="189">
        <f t="shared" si="42"/>
        <v>-0.5230069421680774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0</v>
      </c>
      <c r="G160" s="310">
        <f t="shared" si="49"/>
        <v>0</v>
      </c>
      <c r="H160" s="310">
        <f t="shared" si="49"/>
        <v>0</v>
      </c>
      <c r="I160" s="309" t="e">
        <f t="shared" si="49"/>
        <v>#DIV/0!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32.89</v>
      </c>
      <c r="S160" s="310">
        <f t="shared" si="49"/>
        <v>-32.89</v>
      </c>
      <c r="T160" s="309">
        <f t="shared" si="49"/>
        <v>0</v>
      </c>
      <c r="U160" s="310">
        <f t="shared" si="49"/>
        <v>0</v>
      </c>
      <c r="V160" s="310">
        <f t="shared" si="49"/>
        <v>0</v>
      </c>
      <c r="W160" s="310">
        <f t="shared" si="49"/>
        <v>0</v>
      </c>
      <c r="X160" s="309" t="e">
        <f t="shared" si="49"/>
        <v>#DIV/0!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1928.65</v>
      </c>
      <c r="G161" s="311">
        <f t="shared" si="50"/>
        <v>1498.7</v>
      </c>
      <c r="H161" s="311">
        <f t="shared" si="50"/>
        <v>-429.95000000000005</v>
      </c>
      <c r="I161" s="189">
        <f>G161/F161</f>
        <v>0.7770720452129728</v>
      </c>
      <c r="J161" s="311">
        <f t="shared" si="50"/>
        <v>-6845.7</v>
      </c>
      <c r="K161" s="189">
        <f>G161/E161</f>
        <v>0.17960548391735776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3108.62</v>
      </c>
      <c r="S161" s="311">
        <f t="shared" si="50"/>
        <v>-1609.92</v>
      </c>
      <c r="T161" s="189">
        <f>G161/R161</f>
        <v>0.482111033191577</v>
      </c>
      <c r="U161" s="311">
        <f t="shared" si="50"/>
        <v>680</v>
      </c>
      <c r="V161" s="311">
        <f t="shared" si="50"/>
        <v>426.54999999999995</v>
      </c>
      <c r="W161" s="31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76" sqref="Z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79" t="s">
        <v>171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186"/>
    </row>
    <row r="2" spans="2:25" s="1" customFormat="1" ht="15.75" customHeight="1">
      <c r="B2" s="380"/>
      <c r="C2" s="380"/>
      <c r="D2" s="380"/>
      <c r="E2" s="380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81"/>
      <c r="B3" s="383"/>
      <c r="C3" s="384" t="s">
        <v>0</v>
      </c>
      <c r="D3" s="385" t="s">
        <v>131</v>
      </c>
      <c r="E3" s="385" t="s">
        <v>131</v>
      </c>
      <c r="F3" s="25"/>
      <c r="G3" s="386" t="s">
        <v>26</v>
      </c>
      <c r="H3" s="387"/>
      <c r="I3" s="387"/>
      <c r="J3" s="387"/>
      <c r="K3" s="38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89" t="s">
        <v>141</v>
      </c>
      <c r="V3" s="390" t="s">
        <v>136</v>
      </c>
      <c r="W3" s="390"/>
      <c r="X3" s="390"/>
      <c r="Y3" s="194"/>
    </row>
    <row r="4" spans="1:24" ht="22.5" customHeight="1">
      <c r="A4" s="381"/>
      <c r="B4" s="383"/>
      <c r="C4" s="384"/>
      <c r="D4" s="385"/>
      <c r="E4" s="385"/>
      <c r="F4" s="373" t="s">
        <v>139</v>
      </c>
      <c r="G4" s="375" t="s">
        <v>31</v>
      </c>
      <c r="H4" s="363" t="s">
        <v>129</v>
      </c>
      <c r="I4" s="377" t="s">
        <v>130</v>
      </c>
      <c r="J4" s="363" t="s">
        <v>132</v>
      </c>
      <c r="K4" s="37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77"/>
      <c r="V4" s="361" t="s">
        <v>172</v>
      </c>
      <c r="W4" s="363" t="s">
        <v>44</v>
      </c>
      <c r="X4" s="365" t="s">
        <v>43</v>
      </c>
    </row>
    <row r="5" spans="1:24" ht="67.5" customHeight="1">
      <c r="A5" s="382"/>
      <c r="B5" s="383"/>
      <c r="C5" s="384"/>
      <c r="D5" s="385"/>
      <c r="E5" s="385"/>
      <c r="F5" s="374"/>
      <c r="G5" s="376"/>
      <c r="H5" s="364"/>
      <c r="I5" s="378"/>
      <c r="J5" s="364"/>
      <c r="K5" s="378"/>
      <c r="L5" s="366" t="s">
        <v>135</v>
      </c>
      <c r="M5" s="367"/>
      <c r="N5" s="368"/>
      <c r="O5" s="369" t="s">
        <v>168</v>
      </c>
      <c r="P5" s="370"/>
      <c r="Q5" s="371"/>
      <c r="R5" s="372" t="s">
        <v>167</v>
      </c>
      <c r="S5" s="372"/>
      <c r="T5" s="372"/>
      <c r="U5" s="378"/>
      <c r="V5" s="362"/>
      <c r="W5" s="364"/>
      <c r="X5" s="36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57"/>
      <c r="H106" s="357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57"/>
      <c r="H107" s="357"/>
      <c r="I107" s="267"/>
      <c r="J107" s="269"/>
    </row>
    <row r="108" spans="3:10" ht="15" hidden="1">
      <c r="C108" s="265"/>
      <c r="D108" s="4"/>
      <c r="F108" s="270"/>
      <c r="G108" s="358"/>
      <c r="H108" s="358"/>
      <c r="I108" s="271"/>
      <c r="J108" s="268"/>
    </row>
    <row r="109" spans="2:10" ht="16.5" hidden="1">
      <c r="B109" s="359" t="s">
        <v>148</v>
      </c>
      <c r="C109" s="360"/>
      <c r="D109" s="272"/>
      <c r="E109" s="324">
        <v>144.8304</v>
      </c>
      <c r="F109" s="274" t="s">
        <v>149</v>
      </c>
      <c r="G109" s="357"/>
      <c r="H109" s="357"/>
      <c r="I109" s="275"/>
      <c r="J109" s="268"/>
    </row>
    <row r="110" spans="4:10" ht="15">
      <c r="D110" s="4"/>
      <c r="F110" s="270"/>
      <c r="G110" s="357"/>
      <c r="H110" s="357"/>
      <c r="I110" s="270"/>
      <c r="J110" s="273"/>
    </row>
    <row r="111" spans="2:10" ht="15" customHeight="1" hidden="1">
      <c r="B111" s="356"/>
      <c r="C111" s="356"/>
      <c r="D111" s="277"/>
      <c r="E111" s="278"/>
      <c r="F111" s="270"/>
      <c r="G111" s="357"/>
      <c r="H111" s="35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7" ref="E112:W112">E60+E63+E64</f>
        <v>2095</v>
      </c>
      <c r="F112" s="270">
        <f t="shared" si="37"/>
        <v>309</v>
      </c>
      <c r="G112" s="325">
        <f t="shared" si="37"/>
        <v>305.58</v>
      </c>
      <c r="H112" s="270">
        <f t="shared" si="37"/>
        <v>-3.4200000000000044</v>
      </c>
      <c r="I112" s="326">
        <f>G112/F112</f>
        <v>0.9889320388349514</v>
      </c>
      <c r="J112" s="270">
        <f t="shared" si="37"/>
        <v>-1789.4199999999998</v>
      </c>
      <c r="K112" s="326">
        <f>G112/E112</f>
        <v>0.14586157517899762</v>
      </c>
      <c r="L112" s="270">
        <f t="shared" si="37"/>
        <v>0</v>
      </c>
      <c r="M112" s="270">
        <f t="shared" si="37"/>
        <v>0</v>
      </c>
      <c r="N112" s="270">
        <f t="shared" si="37"/>
        <v>0</v>
      </c>
      <c r="O112" s="270">
        <f t="shared" si="37"/>
        <v>1956.6200000000001</v>
      </c>
      <c r="P112" s="270">
        <f t="shared" si="37"/>
        <v>138.37999999999994</v>
      </c>
      <c r="Q112" s="326">
        <f>E112/O112</f>
        <v>1.0707240036389283</v>
      </c>
      <c r="R112" s="270">
        <f t="shared" si="37"/>
        <v>282.83</v>
      </c>
      <c r="S112" s="270">
        <f t="shared" si="37"/>
        <v>22.75000000000001</v>
      </c>
      <c r="T112" s="326">
        <f>G112/R112</f>
        <v>1.0804370116324293</v>
      </c>
      <c r="U112" s="270">
        <f t="shared" si="37"/>
        <v>161.81</v>
      </c>
      <c r="V112" s="280">
        <f t="shared" si="37"/>
        <v>155.95999999999998</v>
      </c>
      <c r="W112" s="270">
        <f t="shared" si="37"/>
        <v>-5.850000000000001</v>
      </c>
      <c r="X112" s="326">
        <f>V112/U112</f>
        <v>0.9638464866201099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244610.469</v>
      </c>
      <c r="G114" s="281">
        <f>G9+G15+G18+G19+G23+G54+G57+G59+G71+G77+G93+G95</f>
        <v>244320.84999999995</v>
      </c>
      <c r="H114" s="262">
        <f>H9+H15+H18+H19+H23+H54+H57+H59+H71+H77+H93+H95</f>
        <v>-289.61900000001185</v>
      </c>
      <c r="I114" s="163">
        <f>G114/F114</f>
        <v>0.9988159991631427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65675.813</v>
      </c>
      <c r="F115" s="262">
        <f>F55+F58+F60+F63+F64+F65+F72+F76+F88+F89+F90+F91+F98</f>
        <v>7819.187000000001</v>
      </c>
      <c r="G115" s="281">
        <f>G55+G58+G60+G63+G64+G65+G72+G76+G88+G89+G90+G91+G98</f>
        <v>4162.04</v>
      </c>
      <c r="H115" s="262">
        <f>H55+H58+H60+H63+H64+H65+H72+H76+H88+H89+H90+H91+H98</f>
        <v>-3657.1469999999995</v>
      </c>
      <c r="I115" s="163">
        <f>G115/F115</f>
        <v>0.5322855176631535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4024.64</v>
      </c>
      <c r="G116" s="281">
        <f>G56+G62+G66+G78</f>
        <v>4075.6400000000003</v>
      </c>
      <c r="H116" s="262">
        <f>H56+H62+H66+H78</f>
        <v>51.00000000000007</v>
      </c>
      <c r="I116" s="163">
        <f>G116/F116</f>
        <v>1.0126719408443987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1680503.1130000001</v>
      </c>
      <c r="F117" s="329">
        <f>F114+F115+F116</f>
        <v>256454.29600000003</v>
      </c>
      <c r="G117" s="330">
        <f>G114+G115+G116</f>
        <v>252558.52999999997</v>
      </c>
      <c r="H117" s="329">
        <f>H114+H115+H116</f>
        <v>-3895.7660000000114</v>
      </c>
      <c r="I117" s="331">
        <f>G117/F117</f>
        <v>0.9848091217001876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-0.009999999980209395</v>
      </c>
      <c r="H118" s="262">
        <f>H117-H101</f>
        <v>-0.009999999930187187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9" ref="E124:J124">E123+E100</f>
        <v>70687.473</v>
      </c>
      <c r="F124" s="284">
        <f t="shared" si="39"/>
        <v>27904.959</v>
      </c>
      <c r="G124" s="284">
        <f t="shared" si="39"/>
        <v>5868.3499999999985</v>
      </c>
      <c r="H124" s="284">
        <f t="shared" si="39"/>
        <v>-22036.609</v>
      </c>
      <c r="I124" s="337">
        <f t="shared" si="38"/>
        <v>0.2102977467194988</v>
      </c>
      <c r="J124" s="284">
        <f t="shared" si="39"/>
        <v>-64819.12300000001</v>
      </c>
      <c r="K124" s="337">
        <f>G124/F124</f>
        <v>0.2102977467194988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40" ref="E125:J125">E101+E123</f>
        <v>1698605.173</v>
      </c>
      <c r="F125" s="284">
        <f t="shared" si="40"/>
        <v>276708.61600000004</v>
      </c>
      <c r="G125" s="284">
        <f t="shared" si="40"/>
        <v>254710.79999999996</v>
      </c>
      <c r="H125" s="284">
        <f t="shared" si="40"/>
        <v>-21997.816000000083</v>
      </c>
      <c r="I125" s="337">
        <f t="shared" si="38"/>
        <v>0.9205018755180356</v>
      </c>
      <c r="J125" s="284">
        <f t="shared" si="40"/>
        <v>-1443894.373</v>
      </c>
      <c r="K125" s="337">
        <f>G125/F125</f>
        <v>0.9205018755180356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8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8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1" ref="E130:J130">E125+E126+E129</f>
        <v>3198280.3729999997</v>
      </c>
      <c r="F130" s="291">
        <f t="shared" si="41"/>
        <v>598795.346</v>
      </c>
      <c r="G130" s="291">
        <f t="shared" si="41"/>
        <v>254710.79999999996</v>
      </c>
      <c r="H130" s="291">
        <f t="shared" si="41"/>
        <v>-344084.5460000001</v>
      </c>
      <c r="I130" s="339">
        <f t="shared" si="38"/>
        <v>0.4253720435562636</v>
      </c>
      <c r="J130" s="291">
        <f t="shared" si="41"/>
        <v>-2943569.573</v>
      </c>
      <c r="K130" s="33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2" ref="E138:X138">E17</f>
        <v>0</v>
      </c>
      <c r="F138" s="295">
        <f t="shared" si="42"/>
        <v>0</v>
      </c>
      <c r="G138" s="295">
        <f t="shared" si="42"/>
        <v>0</v>
      </c>
      <c r="H138" s="295">
        <f t="shared" si="42"/>
        <v>0</v>
      </c>
      <c r="I138" s="315">
        <f t="shared" si="42"/>
        <v>0</v>
      </c>
      <c r="J138" s="295">
        <f t="shared" si="42"/>
        <v>0</v>
      </c>
      <c r="K138" s="315">
        <f t="shared" si="42"/>
        <v>0</v>
      </c>
      <c r="L138" s="295">
        <f t="shared" si="42"/>
        <v>0</v>
      </c>
      <c r="M138" s="295">
        <f t="shared" si="42"/>
        <v>0</v>
      </c>
      <c r="N138" s="295">
        <f t="shared" si="42"/>
        <v>0</v>
      </c>
      <c r="O138" s="295">
        <f t="shared" si="42"/>
        <v>0.49</v>
      </c>
      <c r="P138" s="295">
        <f t="shared" si="42"/>
        <v>-0.49</v>
      </c>
      <c r="Q138" s="315">
        <f t="shared" si="42"/>
        <v>0</v>
      </c>
      <c r="R138" s="295">
        <f t="shared" si="42"/>
        <v>0</v>
      </c>
      <c r="S138" s="295">
        <f t="shared" si="42"/>
        <v>0</v>
      </c>
      <c r="T138" s="315" t="e">
        <f t="shared" si="42"/>
        <v>#DIV/0!</v>
      </c>
      <c r="U138" s="295">
        <f t="shared" si="42"/>
        <v>0</v>
      </c>
      <c r="V138" s="295">
        <f t="shared" si="42"/>
        <v>0</v>
      </c>
      <c r="W138" s="295">
        <f t="shared" si="42"/>
        <v>0</v>
      </c>
      <c r="X138" s="315">
        <f t="shared" si="42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aca="true" t="shared" si="43" ref="E139:X139">E18</f>
        <v>235.6</v>
      </c>
      <c r="F139" s="295">
        <f t="shared" si="43"/>
        <v>120</v>
      </c>
      <c r="G139" s="295">
        <f t="shared" si="43"/>
        <v>194.24</v>
      </c>
      <c r="H139" s="295">
        <f t="shared" si="43"/>
        <v>74.24000000000001</v>
      </c>
      <c r="I139" s="315">
        <f t="shared" si="43"/>
        <v>1.6186666666666667</v>
      </c>
      <c r="J139" s="295">
        <f t="shared" si="43"/>
        <v>-41.359999999999985</v>
      </c>
      <c r="K139" s="315">
        <f t="shared" si="43"/>
        <v>82.44482173174873</v>
      </c>
      <c r="L139" s="295">
        <f t="shared" si="43"/>
        <v>0</v>
      </c>
      <c r="M139" s="295">
        <f t="shared" si="43"/>
        <v>0</v>
      </c>
      <c r="N139" s="295">
        <f t="shared" si="43"/>
        <v>0</v>
      </c>
      <c r="O139" s="295">
        <f t="shared" si="43"/>
        <v>220.59</v>
      </c>
      <c r="P139" s="295">
        <f t="shared" si="43"/>
        <v>15.009999999999991</v>
      </c>
      <c r="Q139" s="315">
        <f t="shared" si="43"/>
        <v>1.0680447889750215</v>
      </c>
      <c r="R139" s="295">
        <f t="shared" si="43"/>
        <v>0</v>
      </c>
      <c r="S139" s="295">
        <f t="shared" si="43"/>
        <v>194.24</v>
      </c>
      <c r="T139" s="315" t="e">
        <f t="shared" si="43"/>
        <v>#DIV/0!</v>
      </c>
      <c r="U139" s="295">
        <f t="shared" si="43"/>
        <v>120</v>
      </c>
      <c r="V139" s="295">
        <f t="shared" si="43"/>
        <v>194.24</v>
      </c>
      <c r="W139" s="295">
        <f t="shared" si="43"/>
        <v>74.24000000000001</v>
      </c>
      <c r="X139" s="315">
        <f t="shared" si="43"/>
        <v>1.6186666666666667</v>
      </c>
      <c r="Y139" s="336" t="e">
        <f aca="true" t="shared" si="44" ref="Y139:Y161">T139-Q139</f>
        <v>#DIV/0!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5" ref="E140:X140">E56</f>
        <v>158</v>
      </c>
      <c r="F140" s="300">
        <f t="shared" si="45"/>
        <v>14</v>
      </c>
      <c r="G140" s="300">
        <f t="shared" si="45"/>
        <v>13.23</v>
      </c>
      <c r="H140" s="300">
        <f t="shared" si="45"/>
        <v>-0.7699999999999996</v>
      </c>
      <c r="I140" s="332">
        <f t="shared" si="45"/>
        <v>0.9450000000000001</v>
      </c>
      <c r="J140" s="300">
        <f t="shared" si="45"/>
        <v>-144.77</v>
      </c>
      <c r="K140" s="332">
        <f t="shared" si="45"/>
        <v>0.08373417721518987</v>
      </c>
      <c r="L140" s="300">
        <f t="shared" si="45"/>
        <v>0</v>
      </c>
      <c r="M140" s="300">
        <f t="shared" si="45"/>
        <v>0</v>
      </c>
      <c r="N140" s="300">
        <f t="shared" si="45"/>
        <v>0</v>
      </c>
      <c r="O140" s="300">
        <f t="shared" si="45"/>
        <v>153.3</v>
      </c>
      <c r="P140" s="300">
        <f t="shared" si="45"/>
        <v>4.699999999999989</v>
      </c>
      <c r="Q140" s="332">
        <f t="shared" si="45"/>
        <v>1.030658838878017</v>
      </c>
      <c r="R140" s="300">
        <f t="shared" si="45"/>
        <v>57.08</v>
      </c>
      <c r="S140" s="300">
        <f t="shared" si="45"/>
        <v>-43.849999999999994</v>
      </c>
      <c r="T140" s="332">
        <f t="shared" si="45"/>
        <v>0.23177995795374914</v>
      </c>
      <c r="U140" s="300">
        <f t="shared" si="45"/>
        <v>14</v>
      </c>
      <c r="V140" s="300">
        <f t="shared" si="45"/>
        <v>13.23</v>
      </c>
      <c r="W140" s="300">
        <f t="shared" si="45"/>
        <v>-0.7699999999999996</v>
      </c>
      <c r="X140" s="315">
        <f t="shared" si="45"/>
        <v>0.9450000000000001</v>
      </c>
      <c r="Y140" s="336">
        <f t="shared" si="44"/>
        <v>-0.7988788809242677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aca="true" t="shared" si="46" ref="E141:X141">E57</f>
        <v>13</v>
      </c>
      <c r="F141" s="304">
        <f t="shared" si="46"/>
        <v>3</v>
      </c>
      <c r="G141" s="304">
        <f t="shared" si="46"/>
        <v>2.02</v>
      </c>
      <c r="H141" s="304">
        <f t="shared" si="46"/>
        <v>-0.98</v>
      </c>
      <c r="I141" s="333">
        <f t="shared" si="46"/>
        <v>0.6733333333333333</v>
      </c>
      <c r="J141" s="304">
        <f t="shared" si="46"/>
        <v>-10.98</v>
      </c>
      <c r="K141" s="333">
        <f t="shared" si="46"/>
        <v>0.1553846153846154</v>
      </c>
      <c r="L141" s="304">
        <f t="shared" si="46"/>
        <v>0</v>
      </c>
      <c r="M141" s="304">
        <f t="shared" si="46"/>
        <v>0</v>
      </c>
      <c r="N141" s="304">
        <f t="shared" si="46"/>
        <v>0</v>
      </c>
      <c r="O141" s="304">
        <f t="shared" si="46"/>
        <v>12.95</v>
      </c>
      <c r="P141" s="304">
        <f t="shared" si="46"/>
        <v>0.05000000000000071</v>
      </c>
      <c r="Q141" s="333">
        <f t="shared" si="46"/>
        <v>1.0038610038610039</v>
      </c>
      <c r="R141" s="304">
        <f t="shared" si="46"/>
        <v>2.03</v>
      </c>
      <c r="S141" s="304">
        <f t="shared" si="46"/>
        <v>-0.009999999999999787</v>
      </c>
      <c r="T141" s="333">
        <f t="shared" si="46"/>
        <v>0</v>
      </c>
      <c r="U141" s="304">
        <f t="shared" si="46"/>
        <v>1</v>
      </c>
      <c r="V141" s="304">
        <f t="shared" si="46"/>
        <v>0</v>
      </c>
      <c r="W141" s="304">
        <f t="shared" si="46"/>
        <v>-1</v>
      </c>
      <c r="X141" s="335">
        <f t="shared" si="46"/>
        <v>0</v>
      </c>
      <c r="Y141" s="336">
        <f t="shared" si="44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aca="true" t="shared" si="47" ref="E142:X142">E58</f>
        <v>744</v>
      </c>
      <c r="F142" s="295">
        <f t="shared" si="47"/>
        <v>88.43</v>
      </c>
      <c r="G142" s="295">
        <f t="shared" si="47"/>
        <v>52.18</v>
      </c>
      <c r="H142" s="295">
        <f t="shared" si="47"/>
        <v>-36.25000000000001</v>
      </c>
      <c r="I142" s="315">
        <f t="shared" si="47"/>
        <v>0.5900712427909081</v>
      </c>
      <c r="J142" s="295">
        <f t="shared" si="47"/>
        <v>-691.82</v>
      </c>
      <c r="K142" s="315">
        <f t="shared" si="47"/>
        <v>0.07013440860215053</v>
      </c>
      <c r="L142" s="295">
        <f t="shared" si="47"/>
        <v>0</v>
      </c>
      <c r="M142" s="295">
        <f t="shared" si="47"/>
        <v>0</v>
      </c>
      <c r="N142" s="295">
        <f t="shared" si="47"/>
        <v>0</v>
      </c>
      <c r="O142" s="295">
        <f t="shared" si="47"/>
        <v>705.31</v>
      </c>
      <c r="P142" s="295">
        <f t="shared" si="47"/>
        <v>38.690000000000055</v>
      </c>
      <c r="Q142" s="315">
        <f t="shared" si="47"/>
        <v>1.0548553118486907</v>
      </c>
      <c r="R142" s="295">
        <f t="shared" si="47"/>
        <v>82.08</v>
      </c>
      <c r="S142" s="295">
        <f t="shared" si="47"/>
        <v>-29.9</v>
      </c>
      <c r="T142" s="315">
        <f t="shared" si="47"/>
        <v>0.6357212475633528</v>
      </c>
      <c r="U142" s="295">
        <f t="shared" si="47"/>
        <v>60.00000000000001</v>
      </c>
      <c r="V142" s="295">
        <f t="shared" si="47"/>
        <v>23.75</v>
      </c>
      <c r="W142" s="295">
        <f t="shared" si="47"/>
        <v>-36.25000000000001</v>
      </c>
      <c r="X142" s="315">
        <f t="shared" si="47"/>
        <v>0.39583333333333326</v>
      </c>
      <c r="Y142" s="336">
        <f t="shared" si="44"/>
        <v>-0.41913406428533795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aca="true" t="shared" si="48" ref="E143:X143">E59</f>
        <v>115.5</v>
      </c>
      <c r="F143" s="295">
        <f t="shared" si="48"/>
        <v>10</v>
      </c>
      <c r="G143" s="295">
        <f t="shared" si="48"/>
        <v>-11.58</v>
      </c>
      <c r="H143" s="295">
        <f t="shared" si="48"/>
        <v>-21.58</v>
      </c>
      <c r="I143" s="315">
        <f t="shared" si="48"/>
        <v>-1.158</v>
      </c>
      <c r="J143" s="295">
        <f t="shared" si="48"/>
        <v>-127.08</v>
      </c>
      <c r="K143" s="315">
        <f t="shared" si="48"/>
        <v>-0.10025974025974026</v>
      </c>
      <c r="L143" s="295">
        <f t="shared" si="48"/>
        <v>0</v>
      </c>
      <c r="M143" s="295">
        <f t="shared" si="48"/>
        <v>0</v>
      </c>
      <c r="N143" s="295">
        <f t="shared" si="48"/>
        <v>0</v>
      </c>
      <c r="O143" s="295">
        <f t="shared" si="48"/>
        <v>114.3</v>
      </c>
      <c r="P143" s="295">
        <f t="shared" si="48"/>
        <v>1.2000000000000028</v>
      </c>
      <c r="Q143" s="315">
        <f t="shared" si="48"/>
        <v>1.010498687664042</v>
      </c>
      <c r="R143" s="295">
        <f t="shared" si="48"/>
        <v>0</v>
      </c>
      <c r="S143" s="295">
        <f t="shared" si="48"/>
        <v>-11.58</v>
      </c>
      <c r="T143" s="315" t="e">
        <f t="shared" si="48"/>
        <v>#DIV/0!</v>
      </c>
      <c r="U143" s="295">
        <f t="shared" si="48"/>
        <v>10</v>
      </c>
      <c r="V143" s="295">
        <f t="shared" si="48"/>
        <v>-5.03</v>
      </c>
      <c r="W143" s="295">
        <f t="shared" si="48"/>
        <v>-15.030000000000001</v>
      </c>
      <c r="X143" s="315">
        <f t="shared" si="48"/>
        <v>-0.503</v>
      </c>
      <c r="Y143" s="336" t="e">
        <f t="shared" si="44"/>
        <v>#DIV/0!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9" ref="E144:X144">E71</f>
        <v>3</v>
      </c>
      <c r="F144" s="295">
        <f t="shared" si="49"/>
        <v>1.5</v>
      </c>
      <c r="G144" s="295">
        <f t="shared" si="49"/>
        <v>0</v>
      </c>
      <c r="H144" s="295">
        <f t="shared" si="49"/>
        <v>-1.5</v>
      </c>
      <c r="I144" s="315">
        <f t="shared" si="49"/>
        <v>0</v>
      </c>
      <c r="J144" s="295">
        <f t="shared" si="49"/>
        <v>-3</v>
      </c>
      <c r="K144" s="315">
        <f t="shared" si="49"/>
        <v>0</v>
      </c>
      <c r="L144" s="295">
        <f t="shared" si="49"/>
        <v>0</v>
      </c>
      <c r="M144" s="295">
        <f t="shared" si="49"/>
        <v>0</v>
      </c>
      <c r="N144" s="295">
        <f t="shared" si="49"/>
        <v>0</v>
      </c>
      <c r="O144" s="295">
        <f t="shared" si="49"/>
        <v>2.04</v>
      </c>
      <c r="P144" s="295">
        <f t="shared" si="49"/>
        <v>0.96</v>
      </c>
      <c r="Q144" s="315">
        <f t="shared" si="49"/>
        <v>1.4705882352941175</v>
      </c>
      <c r="R144" s="295">
        <f t="shared" si="49"/>
        <v>1.67</v>
      </c>
      <c r="S144" s="295">
        <f t="shared" si="49"/>
        <v>-1.67</v>
      </c>
      <c r="T144" s="315">
        <f t="shared" si="49"/>
        <v>0</v>
      </c>
      <c r="U144" s="295">
        <f t="shared" si="49"/>
        <v>1.5</v>
      </c>
      <c r="V144" s="295">
        <f t="shared" si="49"/>
        <v>0</v>
      </c>
      <c r="W144" s="295">
        <f t="shared" si="49"/>
        <v>-1.5</v>
      </c>
      <c r="X144" s="315">
        <f t="shared" si="49"/>
        <v>0</v>
      </c>
      <c r="Y144" s="336">
        <f t="shared" si="44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50" ref="E145:X145">E77</f>
        <v>35</v>
      </c>
      <c r="F145" s="307">
        <f t="shared" si="50"/>
        <v>6.67</v>
      </c>
      <c r="G145" s="307">
        <f t="shared" si="50"/>
        <v>4.74</v>
      </c>
      <c r="H145" s="307">
        <f t="shared" si="50"/>
        <v>-1.9299999999999997</v>
      </c>
      <c r="I145" s="334">
        <f t="shared" si="50"/>
        <v>0.7106446776611695</v>
      </c>
      <c r="J145" s="307">
        <f t="shared" si="50"/>
        <v>-30.259999999999998</v>
      </c>
      <c r="K145" s="334">
        <f t="shared" si="50"/>
        <v>0.13542857142857143</v>
      </c>
      <c r="L145" s="307">
        <f t="shared" si="50"/>
        <v>0</v>
      </c>
      <c r="M145" s="307">
        <f t="shared" si="50"/>
        <v>0</v>
      </c>
      <c r="N145" s="307">
        <f t="shared" si="50"/>
        <v>0</v>
      </c>
      <c r="O145" s="307">
        <f t="shared" si="50"/>
        <v>34.22</v>
      </c>
      <c r="P145" s="307">
        <f t="shared" si="50"/>
        <v>0.7800000000000011</v>
      </c>
      <c r="Q145" s="334">
        <f t="shared" si="50"/>
        <v>1.0227936879018118</v>
      </c>
      <c r="R145" s="307">
        <f t="shared" si="50"/>
        <v>8.6</v>
      </c>
      <c r="S145" s="307">
        <f t="shared" si="50"/>
        <v>-3.8599999999999994</v>
      </c>
      <c r="T145" s="334">
        <f t="shared" si="50"/>
        <v>0.5511627906976745</v>
      </c>
      <c r="U145" s="307">
        <f t="shared" si="50"/>
        <v>2.9</v>
      </c>
      <c r="V145" s="307">
        <f t="shared" si="50"/>
        <v>0.9700000000000002</v>
      </c>
      <c r="W145" s="307">
        <f t="shared" si="50"/>
        <v>-1.9299999999999997</v>
      </c>
      <c r="X145" s="334">
        <f t="shared" si="50"/>
        <v>0.3344827586206897</v>
      </c>
      <c r="Y145" s="336">
        <f t="shared" si="44"/>
        <v>-0.4716308972041373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aca="true" t="shared" si="51" ref="E146:X146">E78</f>
        <v>0</v>
      </c>
      <c r="F146" s="307">
        <f t="shared" si="51"/>
        <v>0</v>
      </c>
      <c r="G146" s="307">
        <f t="shared" si="51"/>
        <v>0.11</v>
      </c>
      <c r="H146" s="307">
        <f t="shared" si="51"/>
        <v>0.11</v>
      </c>
      <c r="I146" s="334" t="e">
        <f t="shared" si="51"/>
        <v>#DIV/0!</v>
      </c>
      <c r="J146" s="307">
        <f t="shared" si="51"/>
        <v>0.11</v>
      </c>
      <c r="K146" s="334">
        <f t="shared" si="51"/>
        <v>0</v>
      </c>
      <c r="L146" s="307">
        <f t="shared" si="51"/>
        <v>0</v>
      </c>
      <c r="M146" s="307">
        <f t="shared" si="51"/>
        <v>0</v>
      </c>
      <c r="N146" s="307">
        <f t="shared" si="51"/>
        <v>0</v>
      </c>
      <c r="O146" s="307">
        <f t="shared" si="51"/>
        <v>-4.86</v>
      </c>
      <c r="P146" s="307">
        <f t="shared" si="51"/>
        <v>4.86</v>
      </c>
      <c r="Q146" s="334">
        <f t="shared" si="51"/>
        <v>0</v>
      </c>
      <c r="R146" s="307">
        <f t="shared" si="51"/>
        <v>-5.33</v>
      </c>
      <c r="S146" s="307">
        <f t="shared" si="51"/>
        <v>5.44</v>
      </c>
      <c r="T146" s="334">
        <f t="shared" si="51"/>
        <v>-0.020637898686679174</v>
      </c>
      <c r="U146" s="307">
        <f t="shared" si="51"/>
        <v>0</v>
      </c>
      <c r="V146" s="307">
        <f t="shared" si="51"/>
        <v>0.11</v>
      </c>
      <c r="W146" s="307">
        <f t="shared" si="51"/>
        <v>0.11</v>
      </c>
      <c r="X146" s="334">
        <f t="shared" si="51"/>
        <v>0</v>
      </c>
      <c r="Y146" s="336">
        <f t="shared" si="44"/>
        <v>-0.020637898686679174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243.6</v>
      </c>
      <c r="G147" s="311">
        <f>SUM(G138:G146)</f>
        <v>254.94000000000003</v>
      </c>
      <c r="H147" s="311">
        <f>SUM(H138:H146)</f>
        <v>11.340000000000003</v>
      </c>
      <c r="I147" s="189">
        <f>G147/F147</f>
        <v>1.0465517241379312</v>
      </c>
      <c r="J147" s="311">
        <f>G147-E147</f>
        <v>-1049.1599999999999</v>
      </c>
      <c r="K147" s="331">
        <f>G147/E147</f>
        <v>0.1954911433172303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146.12999999999997</v>
      </c>
      <c r="S147" s="311">
        <f>SUM(S138:S146)</f>
        <v>108.81000000000002</v>
      </c>
      <c r="T147" s="189">
        <f>G147/R147</f>
        <v>1.7446109628413062</v>
      </c>
      <c r="U147" s="311">
        <f>SUM(U138:U146)</f>
        <v>209.4</v>
      </c>
      <c r="V147" s="311">
        <f>SUM(V138:V146)</f>
        <v>227.27</v>
      </c>
      <c r="W147" s="31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52" ref="E150:X150">E60</f>
        <v>1284</v>
      </c>
      <c r="F150" s="295">
        <f t="shared" si="52"/>
        <v>184</v>
      </c>
      <c r="G150" s="295">
        <f t="shared" si="52"/>
        <v>177.19</v>
      </c>
      <c r="H150" s="295">
        <f t="shared" si="52"/>
        <v>-6.810000000000002</v>
      </c>
      <c r="I150" s="315">
        <f t="shared" si="52"/>
        <v>0.9629891304347826</v>
      </c>
      <c r="J150" s="295">
        <f t="shared" si="52"/>
        <v>-1106.81</v>
      </c>
      <c r="K150" s="315">
        <f t="shared" si="52"/>
        <v>0.13799844236760125</v>
      </c>
      <c r="L150" s="295">
        <f t="shared" si="52"/>
        <v>0</v>
      </c>
      <c r="M150" s="295">
        <f t="shared" si="52"/>
        <v>0</v>
      </c>
      <c r="N150" s="295">
        <f t="shared" si="52"/>
        <v>0</v>
      </c>
      <c r="O150" s="295">
        <f t="shared" si="52"/>
        <v>1205.14</v>
      </c>
      <c r="P150" s="295">
        <f t="shared" si="52"/>
        <v>78.8599999999999</v>
      </c>
      <c r="Q150" s="315">
        <f t="shared" si="52"/>
        <v>1.0654363808354215</v>
      </c>
      <c r="R150" s="295">
        <f t="shared" si="52"/>
        <v>192.39</v>
      </c>
      <c r="S150" s="295">
        <f t="shared" si="52"/>
        <v>-15.199999999999989</v>
      </c>
      <c r="T150" s="315">
        <f t="shared" si="52"/>
        <v>0.920993814647331</v>
      </c>
      <c r="U150" s="295">
        <f t="shared" si="52"/>
        <v>94.81</v>
      </c>
      <c r="V150" s="295">
        <f t="shared" si="52"/>
        <v>88</v>
      </c>
      <c r="W150" s="295">
        <f t="shared" si="52"/>
        <v>-6.810000000000002</v>
      </c>
      <c r="X150" s="315">
        <f t="shared" si="52"/>
        <v>0.9281721337411665</v>
      </c>
      <c r="Y150" s="336">
        <f t="shared" si="44"/>
        <v>-0.14444256618809048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aca="true" t="shared" si="53" ref="E151:X151">E61</f>
        <v>0</v>
      </c>
      <c r="F151" s="295">
        <f t="shared" si="53"/>
        <v>0</v>
      </c>
      <c r="G151" s="295">
        <f t="shared" si="53"/>
        <v>0</v>
      </c>
      <c r="H151" s="295">
        <f t="shared" si="53"/>
        <v>0</v>
      </c>
      <c r="I151" s="315" t="e">
        <f t="shared" si="53"/>
        <v>#DIV/0!</v>
      </c>
      <c r="J151" s="295">
        <f t="shared" si="53"/>
        <v>0</v>
      </c>
      <c r="K151" s="315" t="e">
        <f t="shared" si="53"/>
        <v>#DIV/0!</v>
      </c>
      <c r="L151" s="295">
        <f t="shared" si="53"/>
        <v>0</v>
      </c>
      <c r="M151" s="295">
        <f t="shared" si="53"/>
        <v>0</v>
      </c>
      <c r="N151" s="295">
        <f t="shared" si="53"/>
        <v>0</v>
      </c>
      <c r="O151" s="295">
        <f t="shared" si="53"/>
        <v>23.38</v>
      </c>
      <c r="P151" s="295">
        <f t="shared" si="53"/>
        <v>-23.38</v>
      </c>
      <c r="Q151" s="315">
        <f t="shared" si="53"/>
        <v>0</v>
      </c>
      <c r="R151" s="295">
        <f t="shared" si="53"/>
        <v>0</v>
      </c>
      <c r="S151" s="295">
        <f t="shared" si="53"/>
        <v>0</v>
      </c>
      <c r="T151" s="315">
        <f t="shared" si="53"/>
        <v>0</v>
      </c>
      <c r="U151" s="295">
        <f t="shared" si="53"/>
        <v>0</v>
      </c>
      <c r="V151" s="295">
        <f t="shared" si="53"/>
        <v>0</v>
      </c>
      <c r="W151" s="295">
        <f t="shared" si="53"/>
        <v>0</v>
      </c>
      <c r="X151" s="315" t="e">
        <f t="shared" si="53"/>
        <v>#DIV/0!</v>
      </c>
      <c r="Y151" s="336">
        <f t="shared" si="44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aca="true" t="shared" si="54" ref="E152:X152">E62</f>
        <v>21260</v>
      </c>
      <c r="F152" s="318">
        <f t="shared" si="54"/>
        <v>3890</v>
      </c>
      <c r="G152" s="318">
        <f t="shared" si="54"/>
        <v>3955.42</v>
      </c>
      <c r="H152" s="318">
        <f t="shared" si="54"/>
        <v>65.42000000000007</v>
      </c>
      <c r="I152" s="319">
        <f t="shared" si="54"/>
        <v>1.0168174807197943</v>
      </c>
      <c r="J152" s="318">
        <f t="shared" si="54"/>
        <v>-17304.58</v>
      </c>
      <c r="K152" s="319">
        <f t="shared" si="54"/>
        <v>0.18604985888993414</v>
      </c>
      <c r="L152" s="318">
        <f t="shared" si="54"/>
        <v>0</v>
      </c>
      <c r="M152" s="318">
        <f t="shared" si="54"/>
        <v>0</v>
      </c>
      <c r="N152" s="318">
        <f t="shared" si="54"/>
        <v>0</v>
      </c>
      <c r="O152" s="318">
        <f t="shared" si="54"/>
        <v>20110.14</v>
      </c>
      <c r="P152" s="318">
        <f t="shared" si="54"/>
        <v>1149.8600000000006</v>
      </c>
      <c r="Q152" s="319">
        <f t="shared" si="54"/>
        <v>1.0571781200926498</v>
      </c>
      <c r="R152" s="318">
        <f t="shared" si="54"/>
        <v>2143.72</v>
      </c>
      <c r="S152" s="318">
        <f t="shared" si="54"/>
        <v>1811.7000000000003</v>
      </c>
      <c r="T152" s="319">
        <f t="shared" si="54"/>
        <v>1.8451196984680838</v>
      </c>
      <c r="U152" s="318">
        <f t="shared" si="54"/>
        <v>2000</v>
      </c>
      <c r="V152" s="318">
        <f t="shared" si="54"/>
        <v>2061.32</v>
      </c>
      <c r="W152" s="318">
        <f t="shared" si="54"/>
        <v>61.320000000000164</v>
      </c>
      <c r="X152" s="319">
        <f t="shared" si="54"/>
        <v>1.0306600000000001</v>
      </c>
      <c r="Y152" s="336">
        <f t="shared" si="44"/>
        <v>0.787941578375434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aca="true" t="shared" si="55" ref="E153:X153">E63</f>
        <v>767</v>
      </c>
      <c r="F153" s="318">
        <f t="shared" si="55"/>
        <v>121</v>
      </c>
      <c r="G153" s="318">
        <f t="shared" si="55"/>
        <v>121.69</v>
      </c>
      <c r="H153" s="318">
        <f t="shared" si="55"/>
        <v>0.6899999999999977</v>
      </c>
      <c r="I153" s="319">
        <f t="shared" si="55"/>
        <v>1.005702479338843</v>
      </c>
      <c r="J153" s="318">
        <f t="shared" si="55"/>
        <v>-645.31</v>
      </c>
      <c r="K153" s="319">
        <f t="shared" si="55"/>
        <v>0.15865710560625815</v>
      </c>
      <c r="L153" s="318">
        <f t="shared" si="55"/>
        <v>0</v>
      </c>
      <c r="M153" s="318">
        <f t="shared" si="55"/>
        <v>0</v>
      </c>
      <c r="N153" s="318">
        <f t="shared" si="55"/>
        <v>0</v>
      </c>
      <c r="O153" s="318">
        <f t="shared" si="55"/>
        <v>710.04</v>
      </c>
      <c r="P153" s="318">
        <f t="shared" si="55"/>
        <v>56.960000000000036</v>
      </c>
      <c r="Q153" s="319">
        <f t="shared" si="55"/>
        <v>1.0802208326291478</v>
      </c>
      <c r="R153" s="318">
        <f t="shared" si="55"/>
        <v>90.44</v>
      </c>
      <c r="S153" s="318">
        <f t="shared" si="55"/>
        <v>31.25</v>
      </c>
      <c r="T153" s="319">
        <f t="shared" si="55"/>
        <v>1.345532950022114</v>
      </c>
      <c r="U153" s="318">
        <f t="shared" si="55"/>
        <v>64</v>
      </c>
      <c r="V153" s="318">
        <f t="shared" si="55"/>
        <v>62.32</v>
      </c>
      <c r="W153" s="318">
        <f t="shared" si="55"/>
        <v>-1.6799999999999997</v>
      </c>
      <c r="X153" s="319">
        <f t="shared" si="55"/>
        <v>0.97375</v>
      </c>
      <c r="Y153" s="336">
        <f t="shared" si="44"/>
        <v>0.26531211739296623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aca="true" t="shared" si="56" ref="E154:X154">E64</f>
        <v>44</v>
      </c>
      <c r="F154" s="318">
        <f t="shared" si="56"/>
        <v>4</v>
      </c>
      <c r="G154" s="318">
        <f t="shared" si="56"/>
        <v>6.7</v>
      </c>
      <c r="H154" s="318">
        <f t="shared" si="56"/>
        <v>2.7</v>
      </c>
      <c r="I154" s="319">
        <f t="shared" si="56"/>
        <v>1.675</v>
      </c>
      <c r="J154" s="318">
        <f t="shared" si="56"/>
        <v>-37.3</v>
      </c>
      <c r="K154" s="319">
        <f t="shared" si="56"/>
        <v>0.15227272727272728</v>
      </c>
      <c r="L154" s="318">
        <f t="shared" si="56"/>
        <v>0</v>
      </c>
      <c r="M154" s="318">
        <f t="shared" si="56"/>
        <v>0</v>
      </c>
      <c r="N154" s="318">
        <f t="shared" si="56"/>
        <v>0</v>
      </c>
      <c r="O154" s="318">
        <f t="shared" si="56"/>
        <v>41.44</v>
      </c>
      <c r="P154" s="318">
        <f t="shared" si="56"/>
        <v>2.5600000000000023</v>
      </c>
      <c r="Q154" s="319">
        <f t="shared" si="56"/>
        <v>1.0617760617760619</v>
      </c>
      <c r="R154" s="318">
        <f t="shared" si="56"/>
        <v>0</v>
      </c>
      <c r="S154" s="318">
        <f t="shared" si="56"/>
        <v>6.7</v>
      </c>
      <c r="T154" s="319" t="e">
        <f t="shared" si="56"/>
        <v>#DIV/0!</v>
      </c>
      <c r="U154" s="318">
        <f t="shared" si="56"/>
        <v>3</v>
      </c>
      <c r="V154" s="318">
        <f t="shared" si="56"/>
        <v>5.640000000000001</v>
      </c>
      <c r="W154" s="318">
        <f t="shared" si="56"/>
        <v>2.6400000000000006</v>
      </c>
      <c r="X154" s="319">
        <f t="shared" si="56"/>
        <v>1.8800000000000001</v>
      </c>
      <c r="Y154" s="336" t="e">
        <f t="shared" si="44"/>
        <v>#DIV/0!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57" ref="E155:W155">SUM(E150:E154)</f>
        <v>23355</v>
      </c>
      <c r="F155" s="311">
        <f t="shared" si="57"/>
        <v>4199</v>
      </c>
      <c r="G155" s="311">
        <f t="shared" si="57"/>
        <v>4260.999999999999</v>
      </c>
      <c r="H155" s="311">
        <f t="shared" si="57"/>
        <v>62.00000000000007</v>
      </c>
      <c r="I155" s="189">
        <f>G155/F155</f>
        <v>1.0147654203381755</v>
      </c>
      <c r="J155" s="311">
        <f t="shared" si="57"/>
        <v>-19094.000000000004</v>
      </c>
      <c r="K155" s="189">
        <f>G155/E155</f>
        <v>0.182444872618283</v>
      </c>
      <c r="L155" s="311">
        <f t="shared" si="57"/>
        <v>0</v>
      </c>
      <c r="M155" s="311">
        <f t="shared" si="57"/>
        <v>0</v>
      </c>
      <c r="N155" s="311">
        <f t="shared" si="57"/>
        <v>0</v>
      </c>
      <c r="O155" s="311">
        <f t="shared" si="57"/>
        <v>22090.14</v>
      </c>
      <c r="P155" s="311">
        <f t="shared" si="57"/>
        <v>1264.8600000000006</v>
      </c>
      <c r="Q155" s="189">
        <f>E155/O155</f>
        <v>1.0572590304995804</v>
      </c>
      <c r="R155" s="311">
        <f t="shared" si="57"/>
        <v>2426.5499999999997</v>
      </c>
      <c r="S155" s="311">
        <f t="shared" si="57"/>
        <v>1834.4500000000003</v>
      </c>
      <c r="T155" s="189">
        <f>G155/R155</f>
        <v>1.7559910160515957</v>
      </c>
      <c r="U155" s="311">
        <f t="shared" si="57"/>
        <v>2161.81</v>
      </c>
      <c r="V155" s="311">
        <f t="shared" si="57"/>
        <v>2217.28</v>
      </c>
      <c r="W155" s="31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58" ref="E159:X159">E72</f>
        <v>8170</v>
      </c>
      <c r="F159" s="310">
        <f t="shared" si="58"/>
        <v>1248.65</v>
      </c>
      <c r="G159" s="310">
        <f t="shared" si="58"/>
        <v>1072.15</v>
      </c>
      <c r="H159" s="310">
        <f t="shared" si="58"/>
        <v>-176.5</v>
      </c>
      <c r="I159" s="309">
        <f t="shared" si="58"/>
        <v>0.8586473391262563</v>
      </c>
      <c r="J159" s="310">
        <f t="shared" si="58"/>
        <v>-7097.85</v>
      </c>
      <c r="K159" s="309">
        <f t="shared" si="58"/>
        <v>0.13123011015911873</v>
      </c>
      <c r="L159" s="310">
        <f t="shared" si="58"/>
        <v>0</v>
      </c>
      <c r="M159" s="310">
        <f t="shared" si="58"/>
        <v>0</v>
      </c>
      <c r="N159" s="310">
        <f t="shared" si="58"/>
        <v>0</v>
      </c>
      <c r="O159" s="310">
        <f t="shared" si="58"/>
        <v>8086.92</v>
      </c>
      <c r="P159" s="310">
        <f t="shared" si="58"/>
        <v>83.07999999999993</v>
      </c>
      <c r="Q159" s="309">
        <f t="shared" si="58"/>
        <v>1.0102733797292418</v>
      </c>
      <c r="R159" s="310">
        <f t="shared" si="58"/>
        <v>2711.43</v>
      </c>
      <c r="S159" s="310">
        <f t="shared" si="58"/>
        <v>-1639.2799999999997</v>
      </c>
      <c r="T159" s="309">
        <f t="shared" si="58"/>
        <v>0.3954186536255777</v>
      </c>
      <c r="U159" s="310">
        <f t="shared" si="58"/>
        <v>680.0000000000001</v>
      </c>
      <c r="V159" s="310">
        <f t="shared" si="58"/>
        <v>503.5000000000001</v>
      </c>
      <c r="W159" s="310">
        <f t="shared" si="58"/>
        <v>-176.5</v>
      </c>
      <c r="X159" s="309">
        <f t="shared" si="58"/>
        <v>0.7404411764705883</v>
      </c>
      <c r="Y159" s="189">
        <f t="shared" si="44"/>
        <v>-0.6148547261036641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59" ref="E160:X160">E76</f>
        <v>174.4</v>
      </c>
      <c r="F160" s="310">
        <f t="shared" si="59"/>
        <v>0</v>
      </c>
      <c r="G160" s="310">
        <f t="shared" si="59"/>
        <v>0</v>
      </c>
      <c r="H160" s="310">
        <f t="shared" si="59"/>
        <v>0</v>
      </c>
      <c r="I160" s="309" t="e">
        <f t="shared" si="59"/>
        <v>#DIV/0!</v>
      </c>
      <c r="J160" s="310">
        <f t="shared" si="59"/>
        <v>-174.4</v>
      </c>
      <c r="K160" s="309">
        <f t="shared" si="59"/>
        <v>0</v>
      </c>
      <c r="L160" s="310">
        <f t="shared" si="59"/>
        <v>0</v>
      </c>
      <c r="M160" s="310">
        <f t="shared" si="59"/>
        <v>0</v>
      </c>
      <c r="N160" s="310">
        <f t="shared" si="59"/>
        <v>0</v>
      </c>
      <c r="O160" s="310">
        <f t="shared" si="59"/>
        <v>142.18</v>
      </c>
      <c r="P160" s="310">
        <f t="shared" si="59"/>
        <v>32.22</v>
      </c>
      <c r="Q160" s="309">
        <f t="shared" si="59"/>
        <v>1.2266141510761006</v>
      </c>
      <c r="R160" s="310">
        <f t="shared" si="59"/>
        <v>32.89</v>
      </c>
      <c r="S160" s="310">
        <f t="shared" si="59"/>
        <v>-32.89</v>
      </c>
      <c r="T160" s="309">
        <f t="shared" si="59"/>
        <v>0</v>
      </c>
      <c r="U160" s="310">
        <f t="shared" si="59"/>
        <v>0</v>
      </c>
      <c r="V160" s="310">
        <f t="shared" si="59"/>
        <v>0</v>
      </c>
      <c r="W160" s="310">
        <f t="shared" si="59"/>
        <v>0</v>
      </c>
      <c r="X160" s="309" t="e">
        <f t="shared" si="59"/>
        <v>#DIV/0!</v>
      </c>
      <c r="Y160" s="189">
        <f t="shared" si="44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60" ref="E161:W161">SUM(E159:E160)</f>
        <v>8344.4</v>
      </c>
      <c r="F161" s="311">
        <f t="shared" si="60"/>
        <v>1248.65</v>
      </c>
      <c r="G161" s="311">
        <f t="shared" si="60"/>
        <v>1072.15</v>
      </c>
      <c r="H161" s="311">
        <f t="shared" si="60"/>
        <v>-176.5</v>
      </c>
      <c r="I161" s="189">
        <f>G161/F161</f>
        <v>0.8586473391262563</v>
      </c>
      <c r="J161" s="311">
        <f t="shared" si="60"/>
        <v>-7272.25</v>
      </c>
      <c r="K161" s="189">
        <f>G161/E161</f>
        <v>0.12848736877426778</v>
      </c>
      <c r="L161" s="311">
        <f t="shared" si="60"/>
        <v>0</v>
      </c>
      <c r="M161" s="311">
        <f t="shared" si="60"/>
        <v>0</v>
      </c>
      <c r="N161" s="311">
        <f t="shared" si="60"/>
        <v>0</v>
      </c>
      <c r="O161" s="311">
        <f t="shared" si="60"/>
        <v>8229.1</v>
      </c>
      <c r="P161" s="311">
        <f t="shared" si="60"/>
        <v>115.29999999999993</v>
      </c>
      <c r="Q161" s="189">
        <f>E161/O161</f>
        <v>1.0140112527493892</v>
      </c>
      <c r="R161" s="311">
        <f t="shared" si="60"/>
        <v>2744.3199999999997</v>
      </c>
      <c r="S161" s="311">
        <f t="shared" si="60"/>
        <v>-1672.1699999999998</v>
      </c>
      <c r="T161" s="189">
        <f>G161/R161</f>
        <v>0.3906796583488807</v>
      </c>
      <c r="U161" s="311">
        <f t="shared" si="60"/>
        <v>680.0000000000001</v>
      </c>
      <c r="V161" s="311">
        <f t="shared" si="60"/>
        <v>503.5000000000001</v>
      </c>
      <c r="W161" s="31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7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2" sqref="U1:X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79" t="s">
        <v>128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186"/>
    </row>
    <row r="2" spans="2:25" s="1" customFormat="1" ht="15.75" customHeight="1">
      <c r="B2" s="380"/>
      <c r="C2" s="380"/>
      <c r="D2" s="380"/>
      <c r="E2" s="38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81"/>
      <c r="B3" s="383"/>
      <c r="C3" s="384" t="s">
        <v>0</v>
      </c>
      <c r="D3" s="391" t="s">
        <v>131</v>
      </c>
      <c r="E3" s="385" t="s">
        <v>131</v>
      </c>
      <c r="F3" s="25"/>
      <c r="G3" s="386" t="s">
        <v>26</v>
      </c>
      <c r="H3" s="387"/>
      <c r="I3" s="387"/>
      <c r="J3" s="387"/>
      <c r="K3" s="38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89" t="s">
        <v>140</v>
      </c>
      <c r="V3" s="390" t="s">
        <v>124</v>
      </c>
      <c r="W3" s="390"/>
      <c r="X3" s="390"/>
      <c r="Y3" s="194"/>
    </row>
    <row r="4" spans="1:24" ht="22.5" customHeight="1">
      <c r="A4" s="381"/>
      <c r="B4" s="383"/>
      <c r="C4" s="384"/>
      <c r="D4" s="392"/>
      <c r="E4" s="385"/>
      <c r="F4" s="373" t="s">
        <v>138</v>
      </c>
      <c r="G4" s="375" t="s">
        <v>31</v>
      </c>
      <c r="H4" s="363" t="s">
        <v>122</v>
      </c>
      <c r="I4" s="377" t="s">
        <v>123</v>
      </c>
      <c r="J4" s="363" t="s">
        <v>132</v>
      </c>
      <c r="K4" s="37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77"/>
      <c r="V4" s="361" t="s">
        <v>137</v>
      </c>
      <c r="W4" s="363" t="s">
        <v>44</v>
      </c>
      <c r="X4" s="365" t="s">
        <v>43</v>
      </c>
    </row>
    <row r="5" spans="1:24" ht="67.5" customHeight="1">
      <c r="A5" s="382"/>
      <c r="B5" s="383"/>
      <c r="C5" s="384"/>
      <c r="D5" s="393"/>
      <c r="E5" s="385"/>
      <c r="F5" s="374"/>
      <c r="G5" s="376"/>
      <c r="H5" s="364"/>
      <c r="I5" s="378"/>
      <c r="J5" s="364"/>
      <c r="K5" s="378"/>
      <c r="L5" s="366" t="s">
        <v>109</v>
      </c>
      <c r="M5" s="367"/>
      <c r="N5" s="368"/>
      <c r="O5" s="394" t="s">
        <v>125</v>
      </c>
      <c r="P5" s="395"/>
      <c r="Q5" s="396"/>
      <c r="R5" s="372" t="s">
        <v>127</v>
      </c>
      <c r="S5" s="372"/>
      <c r="T5" s="372"/>
      <c r="U5" s="378"/>
      <c r="V5" s="362"/>
      <c r="W5" s="364"/>
      <c r="X5" s="365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57"/>
      <c r="H106" s="357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57"/>
      <c r="H107" s="357"/>
      <c r="I107" s="267"/>
      <c r="J107" s="269"/>
      <c r="Y107" s="199"/>
    </row>
    <row r="108" spans="3:25" ht="15">
      <c r="C108" s="265"/>
      <c r="D108" s="4"/>
      <c r="F108" s="270"/>
      <c r="G108" s="358"/>
      <c r="H108" s="358"/>
      <c r="I108" s="271"/>
      <c r="J108" s="268"/>
      <c r="Y108" s="199"/>
    </row>
    <row r="109" spans="2:25" ht="16.5">
      <c r="B109" s="359" t="s">
        <v>148</v>
      </c>
      <c r="C109" s="359"/>
      <c r="D109" s="272"/>
      <c r="E109" s="272">
        <f>3396166.95/1000</f>
        <v>3396.1669500000003</v>
      </c>
      <c r="F109" s="274" t="s">
        <v>149</v>
      </c>
      <c r="G109" s="357"/>
      <c r="H109" s="357"/>
      <c r="I109" s="275"/>
      <c r="J109" s="268"/>
      <c r="Y109" s="199"/>
    </row>
    <row r="110" spans="4:25" ht="15">
      <c r="D110" s="4"/>
      <c r="F110" s="270"/>
      <c r="G110" s="357"/>
      <c r="H110" s="357"/>
      <c r="I110" s="270"/>
      <c r="J110" s="273"/>
      <c r="Y110" s="199"/>
    </row>
    <row r="111" spans="2:25" ht="15" hidden="1">
      <c r="B111" s="279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5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7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20" t="s">
        <v>165</v>
      </c>
      <c r="D116" s="329">
        <f>D113+D114+D115</f>
        <v>1680503.1130000001</v>
      </c>
      <c r="E116" s="329">
        <f>E113+E114+E115</f>
        <v>1680503.1130000001</v>
      </c>
      <c r="F116" s="329">
        <f>F113+F114+F115</f>
        <v>116722.42358000002</v>
      </c>
      <c r="G116" s="329">
        <f>G113+G114+G115</f>
        <v>116722.93</v>
      </c>
      <c r="H116" s="329">
        <f>H113+H114+H115</f>
        <v>0.5064200000016879</v>
      </c>
      <c r="I116" s="33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3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199"/>
    </row>
    <row r="122" spans="2:25" ht="17.25" hidden="1">
      <c r="B122" s="344" t="s">
        <v>30</v>
      </c>
      <c r="C122" s="34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6" t="s">
        <v>152</v>
      </c>
      <c r="C123" s="34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6" t="s">
        <v>153</v>
      </c>
      <c r="C124" s="287">
        <v>40000000</v>
      </c>
      <c r="D124" s="288">
        <v>1499675.2</v>
      </c>
      <c r="E124" s="288">
        <v>1499675.2</v>
      </c>
      <c r="F124" s="288">
        <v>164550.67</v>
      </c>
      <c r="G124" s="323">
        <v>157946.6</v>
      </c>
      <c r="H124" s="288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40" t="s">
        <v>169</v>
      </c>
      <c r="C125" s="341">
        <v>41033900</v>
      </c>
      <c r="D125" s="342">
        <v>249086.1</v>
      </c>
      <c r="E125" s="342">
        <v>249086.1</v>
      </c>
      <c r="F125" s="342">
        <v>19179.6</v>
      </c>
      <c r="G125" s="347">
        <v>19179.6</v>
      </c>
      <c r="H125" s="34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40" t="s">
        <v>170</v>
      </c>
      <c r="C126" s="341">
        <v>41034200</v>
      </c>
      <c r="D126" s="342">
        <v>226186</v>
      </c>
      <c r="E126" s="342">
        <v>226186</v>
      </c>
      <c r="F126" s="342">
        <v>22003</v>
      </c>
      <c r="G126" s="347">
        <v>22003</v>
      </c>
      <c r="H126" s="34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6" t="s">
        <v>166</v>
      </c>
      <c r="C127" s="287"/>
      <c r="D127" s="288">
        <v>0</v>
      </c>
      <c r="E127" s="288">
        <v>0</v>
      </c>
      <c r="F127" s="288">
        <v>0</v>
      </c>
      <c r="G127" s="323">
        <v>0</v>
      </c>
      <c r="H127" s="288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9" t="s">
        <v>154</v>
      </c>
      <c r="C128" s="290"/>
      <c r="D128" s="291">
        <f>D123+D124+D127</f>
        <v>3270627.968</v>
      </c>
      <c r="E128" s="291">
        <f>E123+E124+E127</f>
        <v>3270627.968</v>
      </c>
      <c r="F128" s="291">
        <f>F123+F124+F127</f>
        <v>288810.56483000005</v>
      </c>
      <c r="G128" s="291">
        <f>G123+G124+G127</f>
        <v>281074.64</v>
      </c>
      <c r="H128" s="291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2" t="s">
        <v>155</v>
      </c>
      <c r="D135" s="4"/>
      <c r="F135" s="78"/>
      <c r="G135" s="4"/>
      <c r="Y135" s="199"/>
    </row>
    <row r="136" spans="2:25" ht="30.75" hidden="1">
      <c r="B136" s="293" t="s">
        <v>156</v>
      </c>
      <c r="C136" s="294">
        <v>13010200</v>
      </c>
      <c r="D136" s="295">
        <f>D17</f>
        <v>0</v>
      </c>
      <c r="E136" s="295">
        <f aca="true" t="shared" si="50" ref="E136:X136">E17</f>
        <v>0</v>
      </c>
      <c r="F136" s="295">
        <f t="shared" si="50"/>
        <v>0</v>
      </c>
      <c r="G136" s="296">
        <f t="shared" si="50"/>
        <v>0</v>
      </c>
      <c r="H136" s="295">
        <f t="shared" si="50"/>
        <v>0</v>
      </c>
      <c r="I136" s="315">
        <f t="shared" si="50"/>
        <v>0</v>
      </c>
      <c r="J136" s="295">
        <f t="shared" si="50"/>
        <v>0</v>
      </c>
      <c r="K136" s="315">
        <f t="shared" si="50"/>
        <v>0</v>
      </c>
      <c r="L136" s="295">
        <f t="shared" si="50"/>
        <v>0</v>
      </c>
      <c r="M136" s="295">
        <f t="shared" si="50"/>
        <v>0</v>
      </c>
      <c r="N136" s="295">
        <f t="shared" si="50"/>
        <v>0</v>
      </c>
      <c r="O136" s="295">
        <f t="shared" si="50"/>
        <v>0.49</v>
      </c>
      <c r="P136" s="295">
        <f t="shared" si="50"/>
        <v>-0.49</v>
      </c>
      <c r="Q136" s="315">
        <f t="shared" si="50"/>
        <v>0</v>
      </c>
      <c r="R136" s="295">
        <f t="shared" si="50"/>
        <v>0</v>
      </c>
      <c r="S136" s="295">
        <f t="shared" si="50"/>
        <v>0</v>
      </c>
      <c r="T136" s="315" t="e">
        <f t="shared" si="50"/>
        <v>#DIV/0!</v>
      </c>
      <c r="U136" s="295">
        <f t="shared" si="50"/>
        <v>0</v>
      </c>
      <c r="V136" s="295">
        <f t="shared" si="50"/>
        <v>0</v>
      </c>
      <c r="W136" s="295">
        <f t="shared" si="50"/>
        <v>0</v>
      </c>
      <c r="X136" s="315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7" t="s">
        <v>157</v>
      </c>
      <c r="C137" s="294">
        <v>13030200</v>
      </c>
      <c r="D137" s="295">
        <f>D18</f>
        <v>235.6</v>
      </c>
      <c r="E137" s="295">
        <f aca="true" t="shared" si="52" ref="E137:X137">E18</f>
        <v>235.6</v>
      </c>
      <c r="F137" s="295">
        <f t="shared" si="52"/>
        <v>0</v>
      </c>
      <c r="G137" s="296">
        <f t="shared" si="52"/>
        <v>0</v>
      </c>
      <c r="H137" s="295">
        <f t="shared" si="52"/>
        <v>0</v>
      </c>
      <c r="I137" s="315" t="e">
        <f t="shared" si="52"/>
        <v>#DIV/0!</v>
      </c>
      <c r="J137" s="295">
        <f t="shared" si="52"/>
        <v>-235.6</v>
      </c>
      <c r="K137" s="315">
        <f t="shared" si="52"/>
        <v>0</v>
      </c>
      <c r="L137" s="295">
        <f t="shared" si="52"/>
        <v>0</v>
      </c>
      <c r="M137" s="295">
        <f t="shared" si="52"/>
        <v>0</v>
      </c>
      <c r="N137" s="295">
        <f t="shared" si="52"/>
        <v>0</v>
      </c>
      <c r="O137" s="295">
        <f t="shared" si="52"/>
        <v>220.59</v>
      </c>
      <c r="P137" s="295">
        <f t="shared" si="52"/>
        <v>15.009999999999991</v>
      </c>
      <c r="Q137" s="315">
        <f t="shared" si="52"/>
        <v>1.0680447889750215</v>
      </c>
      <c r="R137" s="295">
        <f t="shared" si="52"/>
        <v>0</v>
      </c>
      <c r="S137" s="295">
        <f t="shared" si="52"/>
        <v>0</v>
      </c>
      <c r="T137" s="315" t="e">
        <f t="shared" si="52"/>
        <v>#DIV/0!</v>
      </c>
      <c r="U137" s="295">
        <f t="shared" si="52"/>
        <v>0</v>
      </c>
      <c r="V137" s="295">
        <f t="shared" si="52"/>
        <v>0</v>
      </c>
      <c r="W137" s="295">
        <f t="shared" si="52"/>
        <v>0</v>
      </c>
      <c r="X137" s="315" t="e">
        <f t="shared" si="52"/>
        <v>#DIV/0!</v>
      </c>
      <c r="Y137" s="199" t="e">
        <f t="shared" si="51"/>
        <v>#DIV/0!</v>
      </c>
    </row>
    <row r="138" spans="2:25" ht="15" hidden="1">
      <c r="B138" s="298" t="s">
        <v>51</v>
      </c>
      <c r="C138" s="299">
        <v>21080500</v>
      </c>
      <c r="D138" s="300">
        <f>D56</f>
        <v>158</v>
      </c>
      <c r="E138" s="300">
        <f aca="true" t="shared" si="53" ref="E138:X138">E56</f>
        <v>158</v>
      </c>
      <c r="F138" s="300">
        <f t="shared" si="53"/>
        <v>0</v>
      </c>
      <c r="G138" s="301">
        <f t="shared" si="53"/>
        <v>0</v>
      </c>
      <c r="H138" s="300">
        <f t="shared" si="53"/>
        <v>0</v>
      </c>
      <c r="I138" s="332" t="e">
        <f t="shared" si="53"/>
        <v>#DIV/0!</v>
      </c>
      <c r="J138" s="300">
        <f t="shared" si="53"/>
        <v>-158</v>
      </c>
      <c r="K138" s="332">
        <f t="shared" si="53"/>
        <v>0</v>
      </c>
      <c r="L138" s="300">
        <f t="shared" si="53"/>
        <v>0</v>
      </c>
      <c r="M138" s="300">
        <f t="shared" si="53"/>
        <v>0</v>
      </c>
      <c r="N138" s="300">
        <f t="shared" si="53"/>
        <v>0</v>
      </c>
      <c r="O138" s="300">
        <f t="shared" si="53"/>
        <v>153.3</v>
      </c>
      <c r="P138" s="300">
        <f t="shared" si="53"/>
        <v>4.699999999999989</v>
      </c>
      <c r="Q138" s="332">
        <f t="shared" si="53"/>
        <v>1.030658838878017</v>
      </c>
      <c r="R138" s="300">
        <f t="shared" si="53"/>
        <v>14.87</v>
      </c>
      <c r="S138" s="300">
        <f t="shared" si="53"/>
        <v>-14.87</v>
      </c>
      <c r="T138" s="332">
        <f t="shared" si="53"/>
        <v>0</v>
      </c>
      <c r="U138" s="300">
        <f t="shared" si="53"/>
        <v>0</v>
      </c>
      <c r="V138" s="300">
        <f t="shared" si="53"/>
        <v>0</v>
      </c>
      <c r="W138" s="300">
        <f t="shared" si="53"/>
        <v>0</v>
      </c>
      <c r="X138" s="315" t="e">
        <f t="shared" si="53"/>
        <v>#DIV/0!</v>
      </c>
      <c r="Y138" s="199">
        <f t="shared" si="51"/>
        <v>-1.030658838878017</v>
      </c>
    </row>
    <row r="139" spans="2:25" ht="30.75" hidden="1">
      <c r="B139" s="302" t="s">
        <v>34</v>
      </c>
      <c r="C139" s="303">
        <v>21080900</v>
      </c>
      <c r="D139" s="304">
        <f>D57</f>
        <v>13</v>
      </c>
      <c r="E139" s="304">
        <f aca="true" t="shared" si="54" ref="E139:X139">E57</f>
        <v>13</v>
      </c>
      <c r="F139" s="304">
        <f t="shared" si="54"/>
        <v>2</v>
      </c>
      <c r="G139" s="305">
        <f t="shared" si="54"/>
        <v>2.02</v>
      </c>
      <c r="H139" s="304">
        <f t="shared" si="54"/>
        <v>0.020000000000000018</v>
      </c>
      <c r="I139" s="333">
        <f t="shared" si="54"/>
        <v>1.01</v>
      </c>
      <c r="J139" s="304">
        <f t="shared" si="54"/>
        <v>-10.98</v>
      </c>
      <c r="K139" s="333">
        <f t="shared" si="54"/>
        <v>0.1553846153846154</v>
      </c>
      <c r="L139" s="304">
        <f t="shared" si="54"/>
        <v>0</v>
      </c>
      <c r="M139" s="304">
        <f t="shared" si="54"/>
        <v>0</v>
      </c>
      <c r="N139" s="304">
        <f t="shared" si="54"/>
        <v>0</v>
      </c>
      <c r="O139" s="304">
        <f t="shared" si="54"/>
        <v>12.95</v>
      </c>
      <c r="P139" s="304">
        <f t="shared" si="54"/>
        <v>0.05000000000000071</v>
      </c>
      <c r="Q139" s="333">
        <f t="shared" si="54"/>
        <v>1.0038610038610039</v>
      </c>
      <c r="R139" s="304">
        <f t="shared" si="54"/>
        <v>0</v>
      </c>
      <c r="S139" s="304">
        <f t="shared" si="54"/>
        <v>2.02</v>
      </c>
      <c r="T139" s="333">
        <f t="shared" si="54"/>
        <v>0</v>
      </c>
      <c r="U139" s="304">
        <f t="shared" si="54"/>
        <v>2</v>
      </c>
      <c r="V139" s="304">
        <f t="shared" si="54"/>
        <v>2.02</v>
      </c>
      <c r="W139" s="304">
        <f t="shared" si="54"/>
        <v>0.020000000000000018</v>
      </c>
      <c r="X139" s="335">
        <f t="shared" si="54"/>
        <v>1.01</v>
      </c>
      <c r="Y139" s="199">
        <f t="shared" si="51"/>
        <v>-1.0038610038610039</v>
      </c>
    </row>
    <row r="140" spans="2:25" ht="15" hidden="1">
      <c r="B140" s="297" t="s">
        <v>16</v>
      </c>
      <c r="C140" s="294">
        <v>21081100</v>
      </c>
      <c r="D140" s="295">
        <f>D58</f>
        <v>744</v>
      </c>
      <c r="E140" s="295">
        <f aca="true" t="shared" si="55" ref="E140:X140">E58</f>
        <v>744</v>
      </c>
      <c r="F140" s="295">
        <f t="shared" si="55"/>
        <v>28.43</v>
      </c>
      <c r="G140" s="296">
        <f t="shared" si="55"/>
        <v>28.43</v>
      </c>
      <c r="H140" s="295">
        <f t="shared" si="55"/>
        <v>0</v>
      </c>
      <c r="I140" s="315">
        <f t="shared" si="55"/>
        <v>1</v>
      </c>
      <c r="J140" s="295">
        <f t="shared" si="55"/>
        <v>-715.57</v>
      </c>
      <c r="K140" s="315">
        <f t="shared" si="55"/>
        <v>0.03821236559139785</v>
      </c>
      <c r="L140" s="295">
        <f t="shared" si="55"/>
        <v>0</v>
      </c>
      <c r="M140" s="295">
        <f t="shared" si="55"/>
        <v>0</v>
      </c>
      <c r="N140" s="295">
        <f t="shared" si="55"/>
        <v>0</v>
      </c>
      <c r="O140" s="295">
        <f t="shared" si="55"/>
        <v>705.31</v>
      </c>
      <c r="P140" s="295">
        <f t="shared" si="55"/>
        <v>38.690000000000055</v>
      </c>
      <c r="Q140" s="315">
        <f t="shared" si="55"/>
        <v>1.0548553118486907</v>
      </c>
      <c r="R140" s="295">
        <f t="shared" si="55"/>
        <v>11.17</v>
      </c>
      <c r="S140" s="295">
        <f t="shared" si="55"/>
        <v>17.259999999999998</v>
      </c>
      <c r="T140" s="315">
        <f t="shared" si="55"/>
        <v>2.5452103849597134</v>
      </c>
      <c r="U140" s="295">
        <f t="shared" si="55"/>
        <v>28.43</v>
      </c>
      <c r="V140" s="295">
        <f t="shared" si="55"/>
        <v>28.43</v>
      </c>
      <c r="W140" s="295">
        <f t="shared" si="55"/>
        <v>0</v>
      </c>
      <c r="X140" s="315">
        <f t="shared" si="55"/>
        <v>1</v>
      </c>
      <c r="Y140" s="199">
        <f t="shared" si="51"/>
        <v>1.4903550731110227</v>
      </c>
    </row>
    <row r="141" spans="2:25" ht="46.5" hidden="1">
      <c r="B141" s="297" t="s">
        <v>67</v>
      </c>
      <c r="C141" s="294">
        <v>21081500</v>
      </c>
      <c r="D141" s="295">
        <f>D59</f>
        <v>115.5</v>
      </c>
      <c r="E141" s="295">
        <f aca="true" t="shared" si="56" ref="E141:X141">E59</f>
        <v>115.5</v>
      </c>
      <c r="F141" s="295">
        <f t="shared" si="56"/>
        <v>0</v>
      </c>
      <c r="G141" s="296">
        <f t="shared" si="56"/>
        <v>-6.55</v>
      </c>
      <c r="H141" s="295">
        <f t="shared" si="56"/>
        <v>-6.55</v>
      </c>
      <c r="I141" s="315" t="e">
        <f t="shared" si="56"/>
        <v>#DIV/0!</v>
      </c>
      <c r="J141" s="295">
        <f t="shared" si="56"/>
        <v>-122.05</v>
      </c>
      <c r="K141" s="315">
        <f t="shared" si="56"/>
        <v>-0.05670995670995671</v>
      </c>
      <c r="L141" s="295">
        <f t="shared" si="56"/>
        <v>0</v>
      </c>
      <c r="M141" s="295">
        <f t="shared" si="56"/>
        <v>0</v>
      </c>
      <c r="N141" s="295">
        <f t="shared" si="56"/>
        <v>0</v>
      </c>
      <c r="O141" s="295">
        <f t="shared" si="56"/>
        <v>114.3</v>
      </c>
      <c r="P141" s="295">
        <f t="shared" si="56"/>
        <v>1.2000000000000028</v>
      </c>
      <c r="Q141" s="315">
        <f t="shared" si="56"/>
        <v>1.010498687664042</v>
      </c>
      <c r="R141" s="295">
        <f t="shared" si="56"/>
        <v>0</v>
      </c>
      <c r="S141" s="295">
        <f t="shared" si="56"/>
        <v>-6.55</v>
      </c>
      <c r="T141" s="315" t="e">
        <f t="shared" si="56"/>
        <v>#DIV/0!</v>
      </c>
      <c r="U141" s="295">
        <f t="shared" si="56"/>
        <v>0</v>
      </c>
      <c r="V141" s="295">
        <f t="shared" si="56"/>
        <v>-6.55</v>
      </c>
      <c r="W141" s="295">
        <f t="shared" si="56"/>
        <v>-6.55</v>
      </c>
      <c r="X141" s="315" t="e">
        <f t="shared" si="56"/>
        <v>#DIV/0!</v>
      </c>
      <c r="Y141" s="199" t="e">
        <f t="shared" si="51"/>
        <v>#DIV/0!</v>
      </c>
    </row>
    <row r="142" spans="2:25" ht="46.5" hidden="1">
      <c r="B142" s="297" t="s">
        <v>17</v>
      </c>
      <c r="C142" s="294" t="s">
        <v>18</v>
      </c>
      <c r="D142" s="295">
        <f>D71</f>
        <v>3</v>
      </c>
      <c r="E142" s="295">
        <f aca="true" t="shared" si="57" ref="E142:X142">E71</f>
        <v>3</v>
      </c>
      <c r="F142" s="295">
        <f t="shared" si="57"/>
        <v>0</v>
      </c>
      <c r="G142" s="296">
        <f t="shared" si="57"/>
        <v>0</v>
      </c>
      <c r="H142" s="295">
        <f t="shared" si="57"/>
        <v>0</v>
      </c>
      <c r="I142" s="315" t="e">
        <f t="shared" si="57"/>
        <v>#DIV/0!</v>
      </c>
      <c r="J142" s="295">
        <f t="shared" si="57"/>
        <v>-3</v>
      </c>
      <c r="K142" s="315">
        <f t="shared" si="57"/>
        <v>0</v>
      </c>
      <c r="L142" s="295">
        <f t="shared" si="57"/>
        <v>0</v>
      </c>
      <c r="M142" s="295">
        <f t="shared" si="57"/>
        <v>0</v>
      </c>
      <c r="N142" s="295">
        <f t="shared" si="57"/>
        <v>0</v>
      </c>
      <c r="O142" s="295">
        <f t="shared" si="57"/>
        <v>2.04</v>
      </c>
      <c r="P142" s="295">
        <f t="shared" si="57"/>
        <v>0.96</v>
      </c>
      <c r="Q142" s="315">
        <f t="shared" si="57"/>
        <v>1.4705882352941175</v>
      </c>
      <c r="R142" s="295">
        <f t="shared" si="57"/>
        <v>1.67</v>
      </c>
      <c r="S142" s="295">
        <f t="shared" si="57"/>
        <v>-1.67</v>
      </c>
      <c r="T142" s="315">
        <f t="shared" si="57"/>
        <v>0</v>
      </c>
      <c r="U142" s="295">
        <f t="shared" si="57"/>
        <v>0</v>
      </c>
      <c r="V142" s="295">
        <f t="shared" si="57"/>
        <v>0</v>
      </c>
      <c r="W142" s="295">
        <f t="shared" si="57"/>
        <v>0</v>
      </c>
      <c r="X142" s="315">
        <f t="shared" si="57"/>
        <v>0</v>
      </c>
      <c r="Y142" s="199">
        <f t="shared" si="51"/>
        <v>-1.4705882352941175</v>
      </c>
    </row>
    <row r="143" spans="2:25" ht="30.75" hidden="1">
      <c r="B143" s="306" t="s">
        <v>39</v>
      </c>
      <c r="C143" s="294">
        <v>31010200</v>
      </c>
      <c r="D143" s="307">
        <f>D77</f>
        <v>35</v>
      </c>
      <c r="E143" s="307">
        <f aca="true" t="shared" si="58" ref="E143:X143">E77</f>
        <v>35</v>
      </c>
      <c r="F143" s="307">
        <f t="shared" si="58"/>
        <v>3.77</v>
      </c>
      <c r="G143" s="308">
        <f t="shared" si="58"/>
        <v>3.77</v>
      </c>
      <c r="H143" s="307">
        <f t="shared" si="58"/>
        <v>0</v>
      </c>
      <c r="I143" s="334">
        <f t="shared" si="58"/>
        <v>1</v>
      </c>
      <c r="J143" s="307">
        <f t="shared" si="58"/>
        <v>-31.23</v>
      </c>
      <c r="K143" s="334">
        <f t="shared" si="58"/>
        <v>0.10771428571428572</v>
      </c>
      <c r="L143" s="307">
        <f t="shared" si="58"/>
        <v>0</v>
      </c>
      <c r="M143" s="307">
        <f t="shared" si="58"/>
        <v>0</v>
      </c>
      <c r="N143" s="307">
        <f t="shared" si="58"/>
        <v>0</v>
      </c>
      <c r="O143" s="307">
        <f t="shared" si="58"/>
        <v>34.22</v>
      </c>
      <c r="P143" s="307">
        <f t="shared" si="58"/>
        <v>0.7800000000000011</v>
      </c>
      <c r="Q143" s="334">
        <f t="shared" si="58"/>
        <v>1.0227936879018118</v>
      </c>
      <c r="R143" s="307">
        <f t="shared" si="58"/>
        <v>1.49</v>
      </c>
      <c r="S143" s="307">
        <f t="shared" si="58"/>
        <v>2.2800000000000002</v>
      </c>
      <c r="T143" s="334">
        <f t="shared" si="58"/>
        <v>2.530201342281879</v>
      </c>
      <c r="U143" s="307">
        <f t="shared" si="58"/>
        <v>3.77</v>
      </c>
      <c r="V143" s="307">
        <f t="shared" si="58"/>
        <v>3.77</v>
      </c>
      <c r="W143" s="307">
        <f t="shared" si="58"/>
        <v>0</v>
      </c>
      <c r="X143" s="334">
        <f t="shared" si="58"/>
        <v>1</v>
      </c>
      <c r="Y143" s="199">
        <f t="shared" si="51"/>
        <v>1.5074076543800674</v>
      </c>
    </row>
    <row r="144" spans="2:25" ht="30.75" hidden="1">
      <c r="B144" s="306" t="s">
        <v>49</v>
      </c>
      <c r="C144" s="294">
        <v>31020000</v>
      </c>
      <c r="D144" s="307">
        <f>D78</f>
        <v>0</v>
      </c>
      <c r="E144" s="307">
        <f aca="true" t="shared" si="59" ref="E144:X144">E78</f>
        <v>0</v>
      </c>
      <c r="F144" s="307">
        <f t="shared" si="59"/>
        <v>0</v>
      </c>
      <c r="G144" s="308">
        <f t="shared" si="59"/>
        <v>0</v>
      </c>
      <c r="H144" s="307">
        <f t="shared" si="59"/>
        <v>0</v>
      </c>
      <c r="I144" s="334" t="e">
        <f t="shared" si="59"/>
        <v>#DIV/0!</v>
      </c>
      <c r="J144" s="307">
        <f t="shared" si="59"/>
        <v>0</v>
      </c>
      <c r="K144" s="334">
        <f t="shared" si="59"/>
        <v>0</v>
      </c>
      <c r="L144" s="307">
        <f t="shared" si="59"/>
        <v>0</v>
      </c>
      <c r="M144" s="307">
        <f t="shared" si="59"/>
        <v>0</v>
      </c>
      <c r="N144" s="307">
        <f t="shared" si="59"/>
        <v>0</v>
      </c>
      <c r="O144" s="307">
        <f t="shared" si="59"/>
        <v>-4.86</v>
      </c>
      <c r="P144" s="307">
        <f t="shared" si="59"/>
        <v>4.86</v>
      </c>
      <c r="Q144" s="334">
        <f t="shared" si="59"/>
        <v>0</v>
      </c>
      <c r="R144" s="307">
        <f t="shared" si="59"/>
        <v>0</v>
      </c>
      <c r="S144" s="307">
        <f t="shared" si="59"/>
        <v>0</v>
      </c>
      <c r="T144" s="334" t="e">
        <f t="shared" si="59"/>
        <v>#DIV/0!</v>
      </c>
      <c r="U144" s="307">
        <f t="shared" si="59"/>
        <v>0</v>
      </c>
      <c r="V144" s="307">
        <f t="shared" si="59"/>
        <v>0</v>
      </c>
      <c r="W144" s="307">
        <f t="shared" si="59"/>
        <v>0</v>
      </c>
      <c r="X144" s="334">
        <f t="shared" si="59"/>
        <v>0</v>
      </c>
      <c r="Y144" s="199" t="e">
        <f t="shared" si="51"/>
        <v>#DIV/0!</v>
      </c>
    </row>
    <row r="145" spans="4:25" ht="15" hidden="1">
      <c r="D145" s="311">
        <f>SUM(D136:D144)</f>
        <v>1304.1</v>
      </c>
      <c r="E145" s="311">
        <f>SUM(E136:E144)</f>
        <v>1304.1</v>
      </c>
      <c r="F145" s="311">
        <f>SUM(F136:F144)</f>
        <v>34.2</v>
      </c>
      <c r="G145" s="351">
        <f>SUM(G136:G144)</f>
        <v>27.669999999999998</v>
      </c>
      <c r="H145" s="311">
        <f>SUM(H136:H144)</f>
        <v>-6.529999999999999</v>
      </c>
      <c r="I145" s="189">
        <f>G145/F145</f>
        <v>0.80906432748538</v>
      </c>
      <c r="J145" s="311">
        <f aca="true" t="shared" si="60" ref="J145:P145">SUM(J136:J144)</f>
        <v>-1276.43</v>
      </c>
      <c r="K145" s="189">
        <f t="shared" si="60"/>
        <v>0.24460130998034224</v>
      </c>
      <c r="L145" s="311">
        <f t="shared" si="60"/>
        <v>0</v>
      </c>
      <c r="M145" s="311">
        <f t="shared" si="60"/>
        <v>0</v>
      </c>
      <c r="N145" s="311">
        <f t="shared" si="60"/>
        <v>0</v>
      </c>
      <c r="O145" s="311">
        <f t="shared" si="60"/>
        <v>1238.34</v>
      </c>
      <c r="P145" s="311">
        <f t="shared" si="60"/>
        <v>65.76000000000005</v>
      </c>
      <c r="Q145" s="189">
        <f>E145/O145</f>
        <v>1.053103348030428</v>
      </c>
      <c r="R145" s="311">
        <f>SUM(R136:R144)</f>
        <v>29.2</v>
      </c>
      <c r="S145" s="311">
        <f>SUM(S136:S144)</f>
        <v>-1.5300000000000011</v>
      </c>
      <c r="T145" s="189">
        <f>G145/R145</f>
        <v>0.9476027397260274</v>
      </c>
      <c r="U145" s="311">
        <f>SUM(U136:U144)</f>
        <v>34.2</v>
      </c>
      <c r="V145" s="311">
        <f>SUM(V136:V144)</f>
        <v>27.669999999999998</v>
      </c>
      <c r="W145" s="31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2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3" t="s">
        <v>89</v>
      </c>
      <c r="C148" s="314">
        <v>22010300</v>
      </c>
      <c r="D148" s="295">
        <f>D60</f>
        <v>1284</v>
      </c>
      <c r="E148" s="295">
        <f aca="true" t="shared" si="61" ref="E148:X148">E60</f>
        <v>1284</v>
      </c>
      <c r="F148" s="295">
        <f t="shared" si="61"/>
        <v>89.19</v>
      </c>
      <c r="G148" s="295">
        <f t="shared" si="61"/>
        <v>89.19</v>
      </c>
      <c r="H148" s="295">
        <f t="shared" si="61"/>
        <v>0</v>
      </c>
      <c r="I148" s="315">
        <f t="shared" si="61"/>
        <v>1</v>
      </c>
      <c r="J148" s="295">
        <f t="shared" si="61"/>
        <v>-1194.81</v>
      </c>
      <c r="K148" s="315">
        <f t="shared" si="61"/>
        <v>0.0694626168224299</v>
      </c>
      <c r="L148" s="295">
        <f t="shared" si="61"/>
        <v>0</v>
      </c>
      <c r="M148" s="295">
        <f t="shared" si="61"/>
        <v>0</v>
      </c>
      <c r="N148" s="295">
        <f t="shared" si="61"/>
        <v>0</v>
      </c>
      <c r="O148" s="295">
        <f t="shared" si="61"/>
        <v>1205.14</v>
      </c>
      <c r="P148" s="295">
        <f t="shared" si="61"/>
        <v>78.8599999999999</v>
      </c>
      <c r="Q148" s="315">
        <f t="shared" si="61"/>
        <v>1.0654363808354215</v>
      </c>
      <c r="R148" s="295">
        <f t="shared" si="61"/>
        <v>89.45</v>
      </c>
      <c r="S148" s="295">
        <f t="shared" si="61"/>
        <v>-0.2600000000000051</v>
      </c>
      <c r="T148" s="315">
        <f t="shared" si="61"/>
        <v>0.9970933482392398</v>
      </c>
      <c r="U148" s="295">
        <f t="shared" si="61"/>
        <v>89.19</v>
      </c>
      <c r="V148" s="295">
        <f t="shared" si="61"/>
        <v>89.19</v>
      </c>
      <c r="W148" s="295">
        <f t="shared" si="61"/>
        <v>0</v>
      </c>
      <c r="X148" s="315">
        <f t="shared" si="61"/>
        <v>1</v>
      </c>
      <c r="Y148" s="199">
        <f t="shared" si="51"/>
        <v>-0.06834303259618169</v>
      </c>
    </row>
    <row r="149" spans="2:25" ht="15" hidden="1">
      <c r="B149" s="313" t="s">
        <v>106</v>
      </c>
      <c r="C149" s="314">
        <v>22010200</v>
      </c>
      <c r="D149" s="295">
        <f>D61</f>
        <v>0</v>
      </c>
      <c r="E149" s="295">
        <f aca="true" t="shared" si="62" ref="E149:X149">E61</f>
        <v>0</v>
      </c>
      <c r="F149" s="295">
        <f t="shared" si="62"/>
        <v>0</v>
      </c>
      <c r="G149" s="295">
        <f t="shared" si="62"/>
        <v>0</v>
      </c>
      <c r="H149" s="295">
        <f t="shared" si="62"/>
        <v>0</v>
      </c>
      <c r="I149" s="315" t="e">
        <f t="shared" si="62"/>
        <v>#DIV/0!</v>
      </c>
      <c r="J149" s="295">
        <f t="shared" si="62"/>
        <v>0</v>
      </c>
      <c r="K149" s="315" t="e">
        <f t="shared" si="62"/>
        <v>#DIV/0!</v>
      </c>
      <c r="L149" s="295">
        <f t="shared" si="62"/>
        <v>0</v>
      </c>
      <c r="M149" s="295">
        <f t="shared" si="62"/>
        <v>0</v>
      </c>
      <c r="N149" s="295">
        <f t="shared" si="62"/>
        <v>0</v>
      </c>
      <c r="O149" s="295">
        <f t="shared" si="62"/>
        <v>23.38</v>
      </c>
      <c r="P149" s="295">
        <f t="shared" si="62"/>
        <v>-23.38</v>
      </c>
      <c r="Q149" s="315">
        <f t="shared" si="62"/>
        <v>0</v>
      </c>
      <c r="R149" s="295">
        <f t="shared" si="62"/>
        <v>0</v>
      </c>
      <c r="S149" s="295">
        <f t="shared" si="62"/>
        <v>0</v>
      </c>
      <c r="T149" s="315">
        <f t="shared" si="62"/>
        <v>0</v>
      </c>
      <c r="U149" s="295">
        <f t="shared" si="62"/>
        <v>0</v>
      </c>
      <c r="V149" s="295">
        <f t="shared" si="62"/>
        <v>0</v>
      </c>
      <c r="W149" s="295">
        <f t="shared" si="62"/>
        <v>0</v>
      </c>
      <c r="X149" s="315" t="e">
        <f t="shared" si="62"/>
        <v>#DIV/0!</v>
      </c>
      <c r="Y149" s="199">
        <f t="shared" si="51"/>
        <v>0</v>
      </c>
    </row>
    <row r="150" spans="2:25" ht="15" hidden="1">
      <c r="B150" s="316" t="s">
        <v>65</v>
      </c>
      <c r="C150" s="317">
        <v>22012500</v>
      </c>
      <c r="D150" s="318">
        <f>D62</f>
        <v>21260</v>
      </c>
      <c r="E150" s="318">
        <f aca="true" t="shared" si="63" ref="E150:X150">E62</f>
        <v>21260</v>
      </c>
      <c r="F150" s="318">
        <f t="shared" si="63"/>
        <v>1890</v>
      </c>
      <c r="G150" s="318">
        <f t="shared" si="63"/>
        <v>1894.1</v>
      </c>
      <c r="H150" s="318">
        <f t="shared" si="63"/>
        <v>4.099999999999909</v>
      </c>
      <c r="I150" s="319">
        <f t="shared" si="63"/>
        <v>1.002169312169312</v>
      </c>
      <c r="J150" s="318">
        <f t="shared" si="63"/>
        <v>-19365.9</v>
      </c>
      <c r="K150" s="319">
        <f t="shared" si="63"/>
        <v>0.08909219190968955</v>
      </c>
      <c r="L150" s="318">
        <f t="shared" si="63"/>
        <v>0</v>
      </c>
      <c r="M150" s="318">
        <f t="shared" si="63"/>
        <v>0</v>
      </c>
      <c r="N150" s="318">
        <f t="shared" si="63"/>
        <v>0</v>
      </c>
      <c r="O150" s="318">
        <f t="shared" si="63"/>
        <v>20110.14</v>
      </c>
      <c r="P150" s="318">
        <f t="shared" si="63"/>
        <v>1149.8600000000006</v>
      </c>
      <c r="Q150" s="319">
        <f t="shared" si="63"/>
        <v>1.0571781200926498</v>
      </c>
      <c r="R150" s="318">
        <f t="shared" si="63"/>
        <v>1052.56</v>
      </c>
      <c r="S150" s="318">
        <f t="shared" si="63"/>
        <v>841.54</v>
      </c>
      <c r="T150" s="319">
        <f t="shared" si="63"/>
        <v>1.7995173671809683</v>
      </c>
      <c r="U150" s="318">
        <f t="shared" si="63"/>
        <v>1890</v>
      </c>
      <c r="V150" s="318">
        <f t="shared" si="63"/>
        <v>1894.1</v>
      </c>
      <c r="W150" s="318">
        <f t="shared" si="63"/>
        <v>4.099999999999909</v>
      </c>
      <c r="X150" s="319">
        <f t="shared" si="63"/>
        <v>1.002169312169312</v>
      </c>
      <c r="Y150" s="199">
        <f t="shared" si="51"/>
        <v>0.7423392470883186</v>
      </c>
    </row>
    <row r="151" spans="2:25" ht="30.75" hidden="1">
      <c r="B151" s="316" t="s">
        <v>86</v>
      </c>
      <c r="C151" s="317">
        <v>22012600</v>
      </c>
      <c r="D151" s="318">
        <f>D63</f>
        <v>767</v>
      </c>
      <c r="E151" s="318">
        <f aca="true" t="shared" si="64" ref="E151:X151">E63</f>
        <v>767</v>
      </c>
      <c r="F151" s="318">
        <f t="shared" si="64"/>
        <v>57</v>
      </c>
      <c r="G151" s="318">
        <f t="shared" si="64"/>
        <v>59.37</v>
      </c>
      <c r="H151" s="318">
        <f t="shared" si="64"/>
        <v>2.3699999999999974</v>
      </c>
      <c r="I151" s="319">
        <f t="shared" si="64"/>
        <v>1.041578947368421</v>
      </c>
      <c r="J151" s="318">
        <f t="shared" si="64"/>
        <v>-707.63</v>
      </c>
      <c r="K151" s="319">
        <f t="shared" si="64"/>
        <v>0.07740547588005214</v>
      </c>
      <c r="L151" s="318">
        <f t="shared" si="64"/>
        <v>0</v>
      </c>
      <c r="M151" s="318">
        <f t="shared" si="64"/>
        <v>0</v>
      </c>
      <c r="N151" s="318">
        <f t="shared" si="64"/>
        <v>0</v>
      </c>
      <c r="O151" s="318">
        <f t="shared" si="64"/>
        <v>710.04</v>
      </c>
      <c r="P151" s="318">
        <f t="shared" si="64"/>
        <v>56.960000000000036</v>
      </c>
      <c r="Q151" s="319">
        <f t="shared" si="64"/>
        <v>1.0802208326291478</v>
      </c>
      <c r="R151" s="318">
        <f t="shared" si="64"/>
        <v>44.53</v>
      </c>
      <c r="S151" s="318">
        <f t="shared" si="64"/>
        <v>14.839999999999996</v>
      </c>
      <c r="T151" s="319">
        <f t="shared" si="64"/>
        <v>1.3332584774309453</v>
      </c>
      <c r="U151" s="318">
        <f t="shared" si="64"/>
        <v>57</v>
      </c>
      <c r="V151" s="318">
        <f t="shared" si="64"/>
        <v>59.37</v>
      </c>
      <c r="W151" s="318">
        <f t="shared" si="64"/>
        <v>2.3699999999999974</v>
      </c>
      <c r="X151" s="319">
        <f t="shared" si="64"/>
        <v>1.041578947368421</v>
      </c>
      <c r="Y151" s="199">
        <f t="shared" si="51"/>
        <v>0.25303764480179747</v>
      </c>
    </row>
    <row r="152" spans="2:25" ht="30.75" hidden="1">
      <c r="B152" s="316" t="s">
        <v>90</v>
      </c>
      <c r="C152" s="317">
        <v>22012900</v>
      </c>
      <c r="D152" s="318">
        <f>D64</f>
        <v>44</v>
      </c>
      <c r="E152" s="318">
        <f aca="true" t="shared" si="65" ref="E152:X152">E64</f>
        <v>44</v>
      </c>
      <c r="F152" s="318">
        <f t="shared" si="65"/>
        <v>1</v>
      </c>
      <c r="G152" s="318">
        <f t="shared" si="65"/>
        <v>1.06</v>
      </c>
      <c r="H152" s="318">
        <f t="shared" si="65"/>
        <v>0.06000000000000005</v>
      </c>
      <c r="I152" s="319">
        <f t="shared" si="65"/>
        <v>1.06</v>
      </c>
      <c r="J152" s="318">
        <f t="shared" si="65"/>
        <v>-42.94</v>
      </c>
      <c r="K152" s="319">
        <f t="shared" si="65"/>
        <v>0.024090909090909093</v>
      </c>
      <c r="L152" s="318">
        <f t="shared" si="65"/>
        <v>0</v>
      </c>
      <c r="M152" s="318">
        <f t="shared" si="65"/>
        <v>0</v>
      </c>
      <c r="N152" s="318">
        <f t="shared" si="65"/>
        <v>0</v>
      </c>
      <c r="O152" s="318">
        <f t="shared" si="65"/>
        <v>41.44</v>
      </c>
      <c r="P152" s="318">
        <f t="shared" si="65"/>
        <v>2.5600000000000023</v>
      </c>
      <c r="Q152" s="319">
        <f t="shared" si="65"/>
        <v>1.0617760617760619</v>
      </c>
      <c r="R152" s="318">
        <f t="shared" si="65"/>
        <v>0</v>
      </c>
      <c r="S152" s="318">
        <f t="shared" si="65"/>
        <v>1.06</v>
      </c>
      <c r="T152" s="319" t="e">
        <f t="shared" si="65"/>
        <v>#DIV/0!</v>
      </c>
      <c r="U152" s="318">
        <f t="shared" si="65"/>
        <v>1</v>
      </c>
      <c r="V152" s="318">
        <f t="shared" si="65"/>
        <v>1.06</v>
      </c>
      <c r="W152" s="318">
        <f t="shared" si="65"/>
        <v>0.06000000000000005</v>
      </c>
      <c r="X152" s="319">
        <f t="shared" si="65"/>
        <v>1.06</v>
      </c>
      <c r="Y152" s="199" t="e">
        <f t="shared" si="51"/>
        <v>#DIV/0!</v>
      </c>
    </row>
    <row r="153" spans="2:25" ht="15" hidden="1">
      <c r="B153" s="312" t="s">
        <v>158</v>
      </c>
      <c r="C153" s="320">
        <v>22010000</v>
      </c>
      <c r="D153" s="311">
        <f>SUM(D148:D152)</f>
        <v>23355</v>
      </c>
      <c r="E153" s="311">
        <f aca="true" t="shared" si="66" ref="E153:W153">SUM(E148:E152)</f>
        <v>23355</v>
      </c>
      <c r="F153" s="311">
        <f t="shared" si="66"/>
        <v>2037.19</v>
      </c>
      <c r="G153" s="311">
        <f t="shared" si="66"/>
        <v>2043.7199999999998</v>
      </c>
      <c r="H153" s="311">
        <f t="shared" si="66"/>
        <v>6.529999999999907</v>
      </c>
      <c r="I153" s="189">
        <f>G153/F153</f>
        <v>1.0032053956675615</v>
      </c>
      <c r="J153" s="311">
        <f t="shared" si="66"/>
        <v>-21311.280000000002</v>
      </c>
      <c r="K153" s="189">
        <f>G153/E153</f>
        <v>0.0875067437379576</v>
      </c>
      <c r="L153" s="311">
        <f t="shared" si="66"/>
        <v>0</v>
      </c>
      <c r="M153" s="311">
        <f t="shared" si="66"/>
        <v>0</v>
      </c>
      <c r="N153" s="311">
        <f t="shared" si="66"/>
        <v>0</v>
      </c>
      <c r="O153" s="311">
        <f t="shared" si="66"/>
        <v>22090.14</v>
      </c>
      <c r="P153" s="311">
        <f t="shared" si="66"/>
        <v>1264.8600000000006</v>
      </c>
      <c r="Q153" s="189">
        <f>E153/O153</f>
        <v>1.0572590304995804</v>
      </c>
      <c r="R153" s="311">
        <f t="shared" si="66"/>
        <v>1186.54</v>
      </c>
      <c r="S153" s="311">
        <f t="shared" si="66"/>
        <v>857.18</v>
      </c>
      <c r="T153" s="189">
        <f>G153/R153</f>
        <v>1.7224198088560014</v>
      </c>
      <c r="U153" s="311">
        <f t="shared" si="66"/>
        <v>2037.19</v>
      </c>
      <c r="V153" s="311">
        <f t="shared" si="66"/>
        <v>2043.7199999999998</v>
      </c>
      <c r="W153" s="31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2" t="s">
        <v>159</v>
      </c>
      <c r="D156" s="4"/>
      <c r="F156" s="78"/>
      <c r="G156" s="4"/>
      <c r="Y156" s="199"/>
    </row>
    <row r="157" spans="2:25" ht="15" hidden="1">
      <c r="B157" s="321" t="s">
        <v>13</v>
      </c>
      <c r="C157" s="294" t="s">
        <v>19</v>
      </c>
      <c r="D157" s="310">
        <f>D72</f>
        <v>8170</v>
      </c>
      <c r="E157" s="310">
        <f aca="true" t="shared" si="67" ref="E157:X157">E72</f>
        <v>8170</v>
      </c>
      <c r="F157" s="310">
        <f t="shared" si="67"/>
        <v>568.65</v>
      </c>
      <c r="G157" s="310">
        <f t="shared" si="67"/>
        <v>568.65</v>
      </c>
      <c r="H157" s="310">
        <f t="shared" si="67"/>
        <v>0</v>
      </c>
      <c r="I157" s="309">
        <f t="shared" si="67"/>
        <v>1</v>
      </c>
      <c r="J157" s="310">
        <f t="shared" si="67"/>
        <v>-7601.35</v>
      </c>
      <c r="K157" s="309">
        <f t="shared" si="67"/>
        <v>0.06960220318237453</v>
      </c>
      <c r="L157" s="310">
        <f t="shared" si="67"/>
        <v>0</v>
      </c>
      <c r="M157" s="310">
        <f t="shared" si="67"/>
        <v>0</v>
      </c>
      <c r="N157" s="310">
        <f t="shared" si="67"/>
        <v>0</v>
      </c>
      <c r="O157" s="310">
        <f t="shared" si="67"/>
        <v>8086.92</v>
      </c>
      <c r="P157" s="310">
        <f t="shared" si="67"/>
        <v>83.07999999999993</v>
      </c>
      <c r="Q157" s="309">
        <f t="shared" si="67"/>
        <v>1.0102733797292418</v>
      </c>
      <c r="R157" s="310">
        <f t="shared" si="67"/>
        <v>2247.33</v>
      </c>
      <c r="S157" s="310">
        <f t="shared" si="67"/>
        <v>-1678.6799999999998</v>
      </c>
      <c r="T157" s="309">
        <f t="shared" si="67"/>
        <v>0.2530335998718479</v>
      </c>
      <c r="U157" s="310">
        <f t="shared" si="67"/>
        <v>568.65</v>
      </c>
      <c r="V157" s="310">
        <f t="shared" si="67"/>
        <v>568.65</v>
      </c>
      <c r="W157" s="310">
        <f t="shared" si="67"/>
        <v>0</v>
      </c>
      <c r="X157" s="309">
        <f t="shared" si="67"/>
        <v>1</v>
      </c>
      <c r="Y157" s="199">
        <f t="shared" si="51"/>
        <v>-0.7572397798573939</v>
      </c>
    </row>
    <row r="158" spans="2:25" ht="46.5" hidden="1">
      <c r="B158" s="321" t="s">
        <v>38</v>
      </c>
      <c r="C158" s="294">
        <v>24061900</v>
      </c>
      <c r="D158" s="310">
        <f>D76</f>
        <v>174.4</v>
      </c>
      <c r="E158" s="310">
        <f aca="true" t="shared" si="68" ref="E158:X158">E76</f>
        <v>174.4</v>
      </c>
      <c r="F158" s="310">
        <f t="shared" si="68"/>
        <v>0</v>
      </c>
      <c r="G158" s="310">
        <f t="shared" si="68"/>
        <v>0</v>
      </c>
      <c r="H158" s="310">
        <f t="shared" si="68"/>
        <v>0</v>
      </c>
      <c r="I158" s="309" t="e">
        <f t="shared" si="68"/>
        <v>#DIV/0!</v>
      </c>
      <c r="J158" s="310">
        <f t="shared" si="68"/>
        <v>-174.4</v>
      </c>
      <c r="K158" s="309">
        <f t="shared" si="68"/>
        <v>0</v>
      </c>
      <c r="L158" s="310">
        <f t="shared" si="68"/>
        <v>0</v>
      </c>
      <c r="M158" s="310">
        <f t="shared" si="68"/>
        <v>0</v>
      </c>
      <c r="N158" s="310">
        <f t="shared" si="68"/>
        <v>0</v>
      </c>
      <c r="O158" s="310">
        <f t="shared" si="68"/>
        <v>142.18</v>
      </c>
      <c r="P158" s="310">
        <f t="shared" si="68"/>
        <v>32.22</v>
      </c>
      <c r="Q158" s="309">
        <f t="shared" si="68"/>
        <v>1.2266141510761006</v>
      </c>
      <c r="R158" s="310">
        <f t="shared" si="68"/>
        <v>32.89</v>
      </c>
      <c r="S158" s="310">
        <f t="shared" si="68"/>
        <v>-32.89</v>
      </c>
      <c r="T158" s="309">
        <f t="shared" si="68"/>
        <v>0</v>
      </c>
      <c r="U158" s="310">
        <f t="shared" si="68"/>
        <v>0</v>
      </c>
      <c r="V158" s="310">
        <f t="shared" si="68"/>
        <v>0</v>
      </c>
      <c r="W158" s="310">
        <f t="shared" si="68"/>
        <v>0</v>
      </c>
      <c r="X158" s="309" t="e">
        <f t="shared" si="68"/>
        <v>#DIV/0!</v>
      </c>
      <c r="Y158" s="199">
        <f t="shared" si="51"/>
        <v>-1.2266141510761006</v>
      </c>
    </row>
    <row r="159" spans="2:25" ht="15" hidden="1">
      <c r="B159" s="312" t="s">
        <v>159</v>
      </c>
      <c r="C159" s="322">
        <v>24060000</v>
      </c>
      <c r="D159" s="311">
        <f>SUM(D157:D158)</f>
        <v>8344.4</v>
      </c>
      <c r="E159" s="311">
        <f aca="true" t="shared" si="69" ref="E159:W159">SUM(E157:E158)</f>
        <v>8344.4</v>
      </c>
      <c r="F159" s="311">
        <f t="shared" si="69"/>
        <v>568.65</v>
      </c>
      <c r="G159" s="311">
        <f t="shared" si="69"/>
        <v>568.65</v>
      </c>
      <c r="H159" s="311">
        <f t="shared" si="69"/>
        <v>0</v>
      </c>
      <c r="I159" s="189">
        <f>G159/F159</f>
        <v>1</v>
      </c>
      <c r="J159" s="311">
        <f t="shared" si="69"/>
        <v>-7775.75</v>
      </c>
      <c r="K159" s="189">
        <f>G159/E159</f>
        <v>0.06814750011984085</v>
      </c>
      <c r="L159" s="311">
        <f t="shared" si="69"/>
        <v>0</v>
      </c>
      <c r="M159" s="311">
        <f t="shared" si="69"/>
        <v>0</v>
      </c>
      <c r="N159" s="311">
        <f t="shared" si="69"/>
        <v>0</v>
      </c>
      <c r="O159" s="311">
        <f t="shared" si="69"/>
        <v>8229.1</v>
      </c>
      <c r="P159" s="311">
        <f t="shared" si="69"/>
        <v>115.29999999999993</v>
      </c>
      <c r="Q159" s="189">
        <f>E159/O159</f>
        <v>1.0140112527493892</v>
      </c>
      <c r="R159" s="311">
        <f t="shared" si="69"/>
        <v>2280.22</v>
      </c>
      <c r="S159" s="311">
        <f t="shared" si="69"/>
        <v>-1711.57</v>
      </c>
      <c r="T159" s="189">
        <f>G159/R159</f>
        <v>0.24938383138469097</v>
      </c>
      <c r="U159" s="311">
        <f t="shared" si="69"/>
        <v>568.65</v>
      </c>
      <c r="V159" s="311">
        <f t="shared" si="69"/>
        <v>568.65</v>
      </c>
      <c r="W159" s="31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2018-04-16T09:32:08Z</cp:lastPrinted>
  <dcterms:created xsi:type="dcterms:W3CDTF">2003-07-28T11:27:56Z</dcterms:created>
  <dcterms:modified xsi:type="dcterms:W3CDTF">2018-04-16T09:41:34Z</dcterms:modified>
  <cp:category/>
  <cp:version/>
  <cp:contentType/>
  <cp:contentStatus/>
</cp:coreProperties>
</file>